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6FALl4Rbndcw/sGvryit8/Q8ejsEBrEwTgxRTdVmI7gLrQISYQ4/CxA3kAvpoV/qvMQMrdgVqfQciWTvO6EEHQ==" workbookSaltValue="SzR3enOWmdcr2Gu4a/7Z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T31" i="8" l="1"/>
  <c r="AL21" i="11"/>
  <c r="L17" i="14"/>
  <c r="X12" i="17"/>
  <c r="R8" i="9"/>
  <c r="R13" i="17"/>
  <c r="S13" i="17" s="1"/>
  <c r="P13" i="14"/>
  <c r="BG17" i="13"/>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H9" i="16"/>
  <c r="BL19" i="11"/>
  <c r="BJ18" i="11"/>
  <c r="BM17" i="11"/>
  <c r="BF21" i="11"/>
  <c r="BF17" i="11"/>
  <c r="BL12" i="11"/>
  <c r="BK2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AP17" i="20"/>
  <c r="BJ22" i="11"/>
  <c r="BG10" i="11"/>
  <c r="BK17" i="11"/>
  <c r="V25"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V11" i="16"/>
  <c r="BF10"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M18" i="11"/>
  <c r="BH17" i="11"/>
  <c r="AQ12" i="21"/>
  <c r="BH25" i="11"/>
  <c r="BI21" i="11"/>
  <c r="L10" i="2"/>
  <c r="X21" i="20"/>
  <c r="L16" i="2"/>
  <c r="L18"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AA31" i="1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<sst xmlns="http://schemas.openxmlformats.org/spreadsheetml/2006/main" count="2682" uniqueCount="1193">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</sst>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aqdC7wl7s5gLEPeH59cr7cScXOrK+HZI399H1c8LIDuv/HWhbZVR6V7JgpsCxWVwdTUYimAsKpCa+GKZhH9dQ==" saltValue="9vVL3h/SC1Rebs+cbf6z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8</v>
      </c>
      <c r="F10" s="240">
        <f>IF(ISNUMBER(Datos!K10),Datos!K10," - ")</f>
        <v>8</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10.89922480620155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8</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668</v>
      </c>
      <c r="D17" s="239">
        <f>IF(ISNUMBER(IF(D_I="SI",Datos!I17,Datos!I17+Datos!AC17)),IF(D_I="SI",Datos!I17,Datos!I17+Datos!AC17)," - ")</f>
        <v>649</v>
      </c>
      <c r="E17" s="240">
        <f>IF(ISNUMBER(IF(D_I="SI",Datos!J17,Datos!J17+Datos!AD17)),IF(D_I="SI",Datos!J17,Datos!J17+Datos!AD17)," - ")</f>
        <v>2694</v>
      </c>
      <c r="F17" s="240">
        <f>IF(ISNUMBER(IF(D_I="SI",Datos!K17,Datos!K17+Datos!AE17)),IF(D_I="SI",Datos!K17,Datos!K17+Datos!AE17)," - ")</f>
        <v>2315</v>
      </c>
      <c r="G17" s="1390" t="str">
        <f>IF(Datos!E17&lt;&gt;"",Datos!E17,Datos!D17)</f>
        <v>04</v>
      </c>
      <c r="H17" s="241">
        <f>IF(ISNUMBER(IF(D_I="SI",Datos!L17,Datos!L17+Datos!AF17)),IF(D_I="SI",Datos!L17,Datos!L17+Datos!AF17)," - ")</f>
        <v>1047</v>
      </c>
      <c r="I17" s="1400" t="str">
        <f>IF(ISNUMBER(Datos!AS17/Datos!BM17),Datos!AS17/Datos!BM17," - ")</f>
        <v xml:space="preserve"> - </v>
      </c>
      <c r="J17" s="1401">
        <f>IF(ISNUMBER(Datos!BY17/Datos!CN17),Datos!BY17/Datos!CN17," - ")</f>
        <v>0</v>
      </c>
      <c r="K17" s="244">
        <f t="shared" si="3"/>
        <v>0.56736526946107779</v>
      </c>
      <c r="L17" s="1402">
        <f>IF(ISNUMBER(NºAsuntos!I17/NºAsuntos!G17),(NºAsuntos!I17/NºAsuntos!G17)*11," - ")</f>
        <v>4.9749460043196541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160</v>
      </c>
      <c r="F18" s="240">
        <f>IF(ISNUMBER(IF(D_I="SI",Datos!K18,Datos!K18+Datos!AE18)),IF(D_I="SI",Datos!K18,Datos!K18+Datos!AE18)," - ")</f>
        <v>198</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-0.76</v>
      </c>
      <c r="L18" s="1402">
        <f>IF(ISNUMBER(NºAsuntos!I18/NºAsuntos!G18),(NºAsuntos!I18/NºAsuntos!G18)*11," - ")</f>
        <v>0.66666666666666674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718</v>
      </c>
      <c r="D23" s="1407">
        <f>SUBTOTAL(9,D16:D22)</f>
        <v>699</v>
      </c>
      <c r="E23" s="1408">
        <f>SUBTOTAL(9,E16:E22)</f>
        <v>2854</v>
      </c>
      <c r="F23" s="1408">
        <f>SUBTOTAL(9,F16:F22)</f>
        <v>2513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724</v>
      </c>
      <c r="D31" s="1435">
        <f>SUBTOTAL(9,D9:D30)</f>
        <v>705</v>
      </c>
      <c r="E31" s="1436">
        <f>SUBTOTAL(9,E9:E30)</f>
        <v>2862</v>
      </c>
      <c r="F31" s="1436">
        <f>SUBTOTAL(9,F9:F30)</f>
        <v>2521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OFc3goPklTL0OiPiJaNShgKha6CrrYSP8qh2tdR4u+dXkLeurr9t8W1E8Nyf2twXNFdXTfRaqCXRwjXRLYWCw==" saltValue="L8HSOLygpg1ur0n+/0PB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tsefjJNQN2w2iHXClcxsMFXY0nke6mf3Ay1ocji97tU+4HIilDx49vheYumkic8QwVZP/Owz/Yvyh5kgU3JgA==" saltValue="cg9KaGjuYdgh+Rakff7f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8</v>
      </c>
      <c r="K10" s="194">
        <v>8</v>
      </c>
      <c r="L10" s="194">
        <v>6</v>
      </c>
      <c r="M10" s="194">
        <v>0</v>
      </c>
      <c r="N10" s="194">
        <v>0</v>
      </c>
      <c r="O10" s="194">
        <v>0</v>
      </c>
      <c r="P10" s="194">
        <v>5</v>
      </c>
      <c r="Q10" s="194">
        <v>3</v>
      </c>
      <c r="R10" s="194">
        <v>12</v>
      </c>
      <c r="S10" s="194">
        <v>4</v>
      </c>
      <c r="T10" s="194">
        <v>20</v>
      </c>
      <c r="U10" s="194">
        <v>18</v>
      </c>
      <c r="V10" s="194">
        <v>6</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20</v>
      </c>
      <c r="BA10" s="139">
        <f t="shared" si="0"/>
        <v>18</v>
      </c>
      <c r="BB10" s="139">
        <f t="shared" si="0"/>
        <v>6</v>
      </c>
      <c r="BC10" s="135">
        <f t="shared" si="0"/>
        <v>13</v>
      </c>
      <c r="BD10" s="136">
        <f>IF(ISNUMBER(BA10/AZ10),BA10/AZ10," - ")</f>
        <v>0.9</v>
      </c>
      <c r="BE10" s="137">
        <f>IF(ISNUMBER(BB10/BA10),BB10/BA10, " - ")</f>
        <v>0.33333333333333331</v>
      </c>
      <c r="BF10" s="137">
        <f>IF(ISNUMBER(BC10/BA10),BC10/BA10, " - ")</f>
        <v>0.72222222222222221</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1193</v>
      </c>
      <c r="J12" s="196">
        <v>1489</v>
      </c>
      <c r="K12" s="196">
        <v>1323</v>
      </c>
      <c r="L12" s="196">
        <v>1359</v>
      </c>
      <c r="M12" s="196">
        <v>336</v>
      </c>
      <c r="N12" s="196">
        <v>388</v>
      </c>
      <c r="O12" s="194">
        <v>720</v>
      </c>
      <c r="P12" s="196">
        <v>288</v>
      </c>
      <c r="Q12" s="196">
        <v>166</v>
      </c>
      <c r="R12" s="196">
        <v>1263</v>
      </c>
      <c r="S12" s="196">
        <v>1133</v>
      </c>
      <c r="T12" s="196">
        <v>1333</v>
      </c>
      <c r="U12" s="196">
        <v>1273</v>
      </c>
      <c r="V12" s="196">
        <v>1193</v>
      </c>
      <c r="W12" s="196">
        <v>355</v>
      </c>
      <c r="X12" s="202">
        <v>419</v>
      </c>
      <c r="Y12" s="204">
        <v>41</v>
      </c>
      <c r="Z12" s="194">
        <v>102</v>
      </c>
      <c r="AA12" s="194">
        <v>96</v>
      </c>
      <c r="AB12" s="194">
        <v>47</v>
      </c>
      <c r="AC12" s="196">
        <v>0</v>
      </c>
      <c r="AD12" s="196">
        <v>0</v>
      </c>
      <c r="AE12" s="196">
        <v>0</v>
      </c>
      <c r="AF12" s="202">
        <v>0</v>
      </c>
      <c r="AG12" s="215">
        <v>32</v>
      </c>
      <c r="AH12" s="196">
        <v>121</v>
      </c>
      <c r="AI12" s="196">
        <v>112</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1165</v>
      </c>
      <c r="AZ12" s="137">
        <f t="shared" si="1"/>
        <v>1454</v>
      </c>
      <c r="BA12" s="137">
        <f t="shared" si="1"/>
        <v>1385</v>
      </c>
      <c r="BB12" s="137">
        <f t="shared" si="1"/>
        <v>1234</v>
      </c>
      <c r="BC12" s="135">
        <f>IF(ISNUMBER(X12),X12," - ")</f>
        <v>419</v>
      </c>
      <c r="BD12" s="136">
        <f t="shared" si="2"/>
        <v>0.95254470426409898</v>
      </c>
      <c r="BE12" s="137">
        <f t="shared" si="3"/>
        <v>0.89097472924187726</v>
      </c>
      <c r="BF12" s="137">
        <f t="shared" si="4"/>
        <v>0.30252707581227439</v>
      </c>
      <c r="BG12" s="209">
        <f t="shared" si="5"/>
        <v>1.8909747292418773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1199</v>
      </c>
      <c r="J14" s="197">
        <f t="shared" si="7"/>
        <v>1497</v>
      </c>
      <c r="K14" s="197">
        <f t="shared" si="7"/>
        <v>1331</v>
      </c>
      <c r="L14" s="197">
        <f t="shared" si="7"/>
        <v>1365</v>
      </c>
      <c r="M14" s="197">
        <f t="shared" si="7"/>
        <v>336</v>
      </c>
      <c r="N14" s="197">
        <f t="shared" si="7"/>
        <v>388</v>
      </c>
      <c r="O14" s="197">
        <f t="shared" si="7"/>
        <v>720</v>
      </c>
      <c r="P14" s="197">
        <f t="shared" si="7"/>
        <v>293</v>
      </c>
      <c r="Q14" s="197">
        <f t="shared" si="7"/>
        <v>169</v>
      </c>
      <c r="R14" s="197">
        <f t="shared" si="7"/>
        <v>1275</v>
      </c>
      <c r="S14" s="197">
        <f t="shared" si="7"/>
        <v>1137</v>
      </c>
      <c r="T14" s="197">
        <f t="shared" si="7"/>
        <v>1353</v>
      </c>
      <c r="U14" s="197">
        <f t="shared" si="7"/>
        <v>1291</v>
      </c>
      <c r="V14" s="197">
        <f t="shared" si="7"/>
        <v>1199</v>
      </c>
      <c r="W14" s="197">
        <f t="shared" si="7"/>
        <v>368</v>
      </c>
      <c r="X14" s="197">
        <f t="shared" si="7"/>
        <v>419</v>
      </c>
      <c r="Y14" s="197">
        <f t="shared" si="7"/>
        <v>41</v>
      </c>
      <c r="Z14" s="197">
        <f t="shared" si="7"/>
        <v>102</v>
      </c>
      <c r="AA14" s="197">
        <f t="shared" si="7"/>
        <v>96</v>
      </c>
      <c r="AB14" s="197">
        <f t="shared" si="7"/>
        <v>47</v>
      </c>
      <c r="AC14" s="197">
        <f t="shared" si="7"/>
        <v>0</v>
      </c>
      <c r="AD14" s="197">
        <f t="shared" si="7"/>
        <v>0</v>
      </c>
      <c r="AE14" s="197">
        <f t="shared" si="7"/>
        <v>0</v>
      </c>
      <c r="AF14" s="197">
        <f>SUBTOTAL(9,AF9:AF13)</f>
        <v>0</v>
      </c>
      <c r="AG14" s="197">
        <f t="shared" ref="AG14:AT14" si="8">SUBTOTAL(9,AG8:AG13)</f>
        <v>32</v>
      </c>
      <c r="AH14" s="197">
        <f t="shared" si="8"/>
        <v>121</v>
      </c>
      <c r="AI14" s="197">
        <f t="shared" si="8"/>
        <v>112</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1169</v>
      </c>
      <c r="AZ14" s="197">
        <f>SUBTOTAL(9,AZ8:AZ13)</f>
        <v>1474</v>
      </c>
      <c r="BA14" s="197">
        <f>SUBTOTAL(9,BA8:BA13)</f>
        <v>1403</v>
      </c>
      <c r="BB14" s="197">
        <f>SUBTOTAL(9,BB8:BB13)</f>
        <v>1240</v>
      </c>
      <c r="BC14" s="197">
        <f>SUBTOTAL(9,BC8:BC13)</f>
        <v>432</v>
      </c>
      <c r="BD14" s="219">
        <f>IF(ISNUMBER(BA14/AZ14),BA14/AZ14," - ")</f>
        <v>0.95183175033921308</v>
      </c>
      <c r="BE14" s="220">
        <f>IF(ISNUMBER(BB14/BA14),BB14/BA14, " - ")</f>
        <v>0.88382038488952241</v>
      </c>
      <c r="BF14" s="220">
        <f>IF(ISNUMBER(BC14/BA14),BC14/BA14, " - ")</f>
        <v>0.30791161796151106</v>
      </c>
      <c r="BG14" s="221">
        <f>IF(ISNUMBER((AY14+AZ14)/BA14),(AY14+AZ14)/BA14," - ")</f>
        <v>1.8838203848895225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649</v>
      </c>
      <c r="J17" s="196">
        <v>2694</v>
      </c>
      <c r="K17" s="196">
        <v>2315</v>
      </c>
      <c r="L17" s="196">
        <v>1047</v>
      </c>
      <c r="M17" s="196">
        <v>300</v>
      </c>
      <c r="N17" s="196">
        <v>1638</v>
      </c>
      <c r="O17" s="194">
        <v>9</v>
      </c>
      <c r="P17" s="196">
        <v>49</v>
      </c>
      <c r="Q17" s="196">
        <v>78</v>
      </c>
      <c r="R17" s="196">
        <v>53</v>
      </c>
      <c r="S17" s="196">
        <v>857</v>
      </c>
      <c r="T17" s="196">
        <v>2665</v>
      </c>
      <c r="U17" s="196">
        <v>2883</v>
      </c>
      <c r="V17" s="196">
        <v>649</v>
      </c>
      <c r="W17" s="196">
        <v>326</v>
      </c>
      <c r="X17" s="202">
        <v>2003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857</v>
      </c>
      <c r="AZ17" s="137">
        <f t="shared" si="10"/>
        <v>2665</v>
      </c>
      <c r="BA17" s="137">
        <f t="shared" si="10"/>
        <v>2883</v>
      </c>
      <c r="BB17" s="137">
        <f t="shared" si="10"/>
        <v>649</v>
      </c>
      <c r="BC17" s="135">
        <f>IF(ISNUMBER(W17),W17," - ")</f>
        <v>326</v>
      </c>
      <c r="BD17" s="136">
        <f t="shared" ref="BD17:BD22" si="12">IF(ISNUMBER(BA17/AZ17),BA17/AZ17," - ")</f>
        <v>1.0818011257035647</v>
      </c>
      <c r="BE17" s="137">
        <f t="shared" ref="BE17:BE22" si="13">IF(ISNUMBER(BB17/BA17),BB17/BA17, " - ")</f>
        <v>0.22511272979535207</v>
      </c>
      <c r="BF17" s="137">
        <f t="shared" ref="BF17:BF22" si="14">IF(ISNUMBER(BC17/BA17),BC17/BA17, " - ")</f>
        <v>0.1130766562608394</v>
      </c>
      <c r="BG17" s="209">
        <f t="shared" si="11"/>
        <v>1.2216441207075963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160</v>
      </c>
      <c r="K18" s="196">
        <v>198</v>
      </c>
      <c r="L18" s="196">
        <v>12</v>
      </c>
      <c r="M18" s="196">
        <v>17</v>
      </c>
      <c r="N18" s="196">
        <v>139</v>
      </c>
      <c r="O18" s="196">
        <v>0</v>
      </c>
      <c r="P18" s="196">
        <v>0</v>
      </c>
      <c r="Q18" s="196">
        <v>0</v>
      </c>
      <c r="R18" s="196">
        <v>0</v>
      </c>
      <c r="S18" s="196">
        <v>81</v>
      </c>
      <c r="T18" s="196">
        <v>118</v>
      </c>
      <c r="U18" s="196">
        <v>149</v>
      </c>
      <c r="V18" s="196">
        <v>50</v>
      </c>
      <c r="W18" s="196">
        <v>19</v>
      </c>
      <c r="X18" s="202">
        <v>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118</v>
      </c>
      <c r="BA18" s="139">
        <f t="shared" si="15"/>
        <v>149</v>
      </c>
      <c r="BB18" s="139">
        <f t="shared" si="15"/>
        <v>50</v>
      </c>
      <c r="BC18" s="135">
        <f>IF(ISNUMBER(W18),W18," - ")</f>
        <v>19</v>
      </c>
      <c r="BD18" s="136">
        <f>IF(ISNUMBER(BA18/AZ18),BA18/AZ18," - ")</f>
        <v>1.2627118644067796</v>
      </c>
      <c r="BE18" s="137">
        <f>IF(ISNUMBER(BB18/BA18),BB18/BA18, " - ")</f>
        <v>0.33557046979865773</v>
      </c>
      <c r="BF18" s="137">
        <f>IF(ISNUMBER(BC18/BA18),BC18/BA18, " - ")</f>
        <v>0.12751677852348994</v>
      </c>
      <c r="BG18" s="209">
        <f>IF(ISNUMBER((AY18+AZ18)/BA18),(AY18+AZ18)/BA18," - ")</f>
        <v>1.3355704697986577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699</v>
      </c>
      <c r="J23" s="197">
        <f t="shared" si="21"/>
        <v>2854</v>
      </c>
      <c r="K23" s="197">
        <f t="shared" si="21"/>
        <v>2513</v>
      </c>
      <c r="L23" s="197">
        <f t="shared" si="21"/>
        <v>1059</v>
      </c>
      <c r="M23" s="197">
        <f t="shared" si="21"/>
        <v>317</v>
      </c>
      <c r="N23" s="197">
        <f t="shared" si="21"/>
        <v>1777</v>
      </c>
      <c r="O23" s="197">
        <f t="shared" si="21"/>
        <v>9</v>
      </c>
      <c r="P23" s="197">
        <f t="shared" si="21"/>
        <v>49</v>
      </c>
      <c r="Q23" s="197">
        <f t="shared" si="21"/>
        <v>78</v>
      </c>
      <c r="R23" s="197">
        <f t="shared" si="21"/>
        <v>53</v>
      </c>
      <c r="S23" s="197">
        <f t="shared" si="21"/>
        <v>938</v>
      </c>
      <c r="T23" s="197">
        <f t="shared" si="21"/>
        <v>2783</v>
      </c>
      <c r="U23" s="197">
        <f t="shared" si="21"/>
        <v>3032</v>
      </c>
      <c r="V23" s="197">
        <f t="shared" si="21"/>
        <v>699</v>
      </c>
      <c r="W23" s="197">
        <f t="shared" si="21"/>
        <v>345</v>
      </c>
      <c r="X23" s="197">
        <f t="shared" si="21"/>
        <v>2130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938</v>
      </c>
      <c r="AZ23" s="197">
        <f>SUBTOTAL(9,AZ15:AZ22)</f>
        <v>2783</v>
      </c>
      <c r="BA23" s="197">
        <f>SUBTOTAL(9,BA15:BA22)</f>
        <v>3032</v>
      </c>
      <c r="BB23" s="197">
        <f>SUBTOTAL(9,BB15:BB22)</f>
        <v>699</v>
      </c>
      <c r="BC23" s="197">
        <f>SUBTOTAL(9,BC15:BC22)</f>
        <v>345</v>
      </c>
      <c r="BD23" s="219">
        <f>IF(ISNUMBER(BA23/AZ23),BA23/AZ23," - ")</f>
        <v>1.0894717930291054</v>
      </c>
      <c r="BE23" s="220">
        <f>IF(ISNUMBER(BB23/BA23),BB23/BA23, " - ")</f>
        <v>0.23054089709762532</v>
      </c>
      <c r="BF23" s="220">
        <f>IF(ISNUMBER(BC23/BA23),BC23/BA23, " - ")</f>
        <v>0.1137862796833773</v>
      </c>
      <c r="BG23" s="221">
        <f>IF(ISNUMBER((AY23+AZ23)/BA23),(AY23+AZ23)/BA23," - ")</f>
        <v>1.2272427440633245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1898</v>
      </c>
      <c r="J31" s="144">
        <f t="shared" si="36"/>
        <v>4351</v>
      </c>
      <c r="K31" s="144">
        <f t="shared" si="36"/>
        <v>3844</v>
      </c>
      <c r="L31" s="144">
        <f t="shared" si="36"/>
        <v>2424</v>
      </c>
      <c r="M31" s="144">
        <f t="shared" si="36"/>
        <v>653</v>
      </c>
      <c r="N31" s="144">
        <f t="shared" si="36"/>
        <v>2165</v>
      </c>
      <c r="O31" s="144">
        <f t="shared" si="36"/>
        <v>729</v>
      </c>
      <c r="P31" s="144">
        <f t="shared" si="36"/>
        <v>342</v>
      </c>
      <c r="Q31" s="144">
        <f t="shared" si="36"/>
        <v>247</v>
      </c>
      <c r="R31" s="144">
        <f t="shared" si="36"/>
        <v>1328</v>
      </c>
      <c r="S31" s="144">
        <f t="shared" si="36"/>
        <v>2075</v>
      </c>
      <c r="T31" s="144">
        <f t="shared" si="36"/>
        <v>4136</v>
      </c>
      <c r="U31" s="144">
        <f t="shared" si="36"/>
        <v>4323</v>
      </c>
      <c r="V31" s="144">
        <f t="shared" si="36"/>
        <v>1898</v>
      </c>
      <c r="W31" s="144">
        <f t="shared" si="36"/>
        <v>713</v>
      </c>
      <c r="X31" s="144">
        <f t="shared" si="36"/>
        <v>2549</v>
      </c>
      <c r="Y31" s="144">
        <f t="shared" si="36"/>
        <v>41</v>
      </c>
      <c r="Z31" s="144">
        <f t="shared" si="36"/>
        <v>102</v>
      </c>
      <c r="AA31" s="144">
        <f t="shared" si="36"/>
        <v>96</v>
      </c>
      <c r="AB31" s="144">
        <f t="shared" si="36"/>
        <v>47</v>
      </c>
      <c r="AC31" s="144">
        <f t="shared" si="36"/>
        <v>0</v>
      </c>
      <c r="AD31" s="144">
        <f t="shared" si="36"/>
        <v>0</v>
      </c>
      <c r="AE31" s="144">
        <f t="shared" si="36"/>
        <v>0</v>
      </c>
      <c r="AF31" s="144">
        <f t="shared" si="36"/>
        <v>0</v>
      </c>
      <c r="AG31" s="144">
        <f t="shared" si="36"/>
        <v>32</v>
      </c>
      <c r="AH31" s="144">
        <f t="shared" si="36"/>
        <v>121</v>
      </c>
      <c r="AI31" s="144">
        <f t="shared" si="36"/>
        <v>112</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2107</v>
      </c>
      <c r="AZ31" s="144">
        <f>SUBTOTAL(9,AZ9:AZ30)</f>
        <v>4257</v>
      </c>
      <c r="BA31" s="144">
        <f>SUBTOTAL(9,BA9:BA30)</f>
        <v>4435</v>
      </c>
      <c r="BB31" s="144">
        <f>SUBTOTAL(9,BB9:BB30)</f>
        <v>1939</v>
      </c>
      <c r="BC31" s="145">
        <f>SUBTOTAL(9,BC9:BC30)</f>
        <v>777</v>
      </c>
      <c r="BD31" s="227">
        <f>IF(ISNUMBER(BA31/AZ31),BA31/AZ31," - ")</f>
        <v>1.0418134836739488</v>
      </c>
      <c r="BE31" s="224">
        <f>IF(ISNUMBER(BB31/BA31),BB31/BA31, " - ")</f>
        <v>0.43720405862457723</v>
      </c>
      <c r="BF31" s="224">
        <f>IF(ISNUMBER(BC31/BA31),BC31/BA31, " - ")</f>
        <v>0.17519729425028185</v>
      </c>
      <c r="BG31" s="145">
        <f>IF(ISNUMBER((AY31+AZ31)/BA31),(AY31+AZ31)/BA31," - ")</f>
        <v>1.4349492671927846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siLAgm09XY0sPMf99SJGqk09PmWhhjCnWuw/kFhc+DkXv/+7ZWgqkZAEy7AnLHofOlTVrJu6k83iQcLW/MSNA==" saltValue="3Mp2T7CKqbtlJLB9oQrQ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fFBQWGKQxRn9Dnsd0zvh4cgYJvNJ3c5AJepRtq/vQQdY3HfwzsbWVM7VNVqK/DDRxFHPjSSDrwG3JVXkOuug==" saltValue="GSzidMLAR1NMpJdlez80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TORROX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3</v>
      </c>
      <c r="AD10" s="549"/>
      <c r="AE10" s="563"/>
      <c r="AF10" s="551">
        <f>IF(ISNUMBER(Datos!L10),Datos!L10,"-")</f>
        <v>6</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102</v>
      </c>
      <c r="O12" s="549"/>
      <c r="P12" s="549"/>
      <c r="Q12" s="547">
        <f>IF(ISNUMBER(Datos!P12),Datos!P12,0)</f>
        <v>288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336</v>
      </c>
      <c r="BD12" s="693">
        <f>IF(ISNUMBER(Datos!N12),Datos!N12," - ")</f>
        <v>388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0.89189189189189189</v>
      </c>
      <c r="BH12" s="764">
        <f>IF(ISNUMBER(((IF(J_V="SI",Datos!L12/Datos!K12,(Datos!L12+Datos!AB12)/(Datos!K12+Datos!AA12)))*11)/factor_trimestre),((IF(J_V="SI",Datos!L12/Datos!K12,(Datos!L12+Datos!AB12)/(Datos!K12+Datos!AA12)))*11)/factor_trimestre," - ")</f>
        <v>10.89922480620155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0.10692375109553023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102</v>
      </c>
      <c r="O14" s="1199">
        <f t="shared" si="1"/>
        <v>0</v>
      </c>
      <c r="P14" s="1199">
        <f t="shared" si="1"/>
        <v>0</v>
      </c>
      <c r="Q14" s="1198">
        <f t="shared" si="1"/>
        <v>293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169</v>
      </c>
      <c r="AD14" s="1198">
        <f t="shared" si="2"/>
        <v>0</v>
      </c>
      <c r="AE14" s="1198">
        <f t="shared" si="2"/>
        <v>0</v>
      </c>
      <c r="AF14" s="1198">
        <f t="shared" si="2"/>
        <v>6</v>
      </c>
      <c r="AG14" s="1198">
        <f t="shared" si="2"/>
        <v>0</v>
      </c>
      <c r="AH14" s="1198">
        <f t="shared" si="2"/>
        <v>47</v>
      </c>
      <c r="AI14" s="1198">
        <f t="shared" si="2"/>
        <v>0</v>
      </c>
      <c r="AJ14" s="1198">
        <f t="shared" si="2"/>
        <v>0</v>
      </c>
      <c r="AK14" s="1198">
        <f t="shared" si="2"/>
        <v>0</v>
      </c>
      <c r="AL14" s="1198">
        <f t="shared" si="2"/>
        <v>0</v>
      </c>
      <c r="AM14" s="1198">
        <f t="shared" si="2"/>
        <v>1275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336</v>
      </c>
      <c r="BD14" s="1198">
        <f t="shared" si="2"/>
        <v>388</v>
      </c>
      <c r="BE14" s="1198">
        <f t="shared" si="2"/>
        <v>0</v>
      </c>
      <c r="BF14" s="1198">
        <f t="shared" si="2"/>
        <v>0</v>
      </c>
      <c r="BG14" s="1198">
        <f>IF(ISNUMBER(Datos!K14/Datos!J14),Datos!K14/Datos!J14," - ")</f>
        <v>0.88911155644622575</v>
      </c>
      <c r="BH14" s="1202">
        <f>IF(ISNUMBER(((Datos!L14/Datos!K14)*11)/factor_trimestre),((Datos!L14/Datos!K14)*11)/factor_trimestre," - ")</f>
        <v>11.28099173553719</v>
      </c>
      <c r="BI14" s="1198">
        <f>IF(ISNUMBER('Resol  Asuntos'!D14/NºAsuntos!G14),'Resol  Asuntos'!D14/NºAsuntos!G14," - ")</f>
        <v>0.23545900490539592</v>
      </c>
      <c r="BJ14" s="1198" t="str">
        <f>IF(ISNUMBER(Datos!CI14/Datos!CJ14),Datos!CI14/Datos!CJ14," - ")</f>
        <v xml:space="preserve"> - </v>
      </c>
      <c r="BK14" s="1198">
        <f>SUBTOTAL(9,BK8:BK13)</f>
        <v>0</v>
      </c>
      <c r="BL14" s="1198">
        <f>IF(ISNUMBER((I14-AB14+L14)/(F14)),(I14-AB14+L14)/(F14)," - ")</f>
        <v>-1.3333333333333333</v>
      </c>
      <c r="BM14" s="1203">
        <f>SUBTOTAL(9,BM9:BM13)</f>
        <v>0.30692375109553027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668</v>
      </c>
      <c r="G17" s="743">
        <f>IF(ISNUMBER(IF(D_I="SI",Datos!I17,Datos!I17+Datos!AC17)),IF(D_I="SI",Datos!I17,Datos!I17+Datos!AC17)," - ")</f>
        <v>649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2315</v>
      </c>
      <c r="AC17" s="240">
        <f>IF(ISNUMBER(Datos!Q17),Datos!Q17," - ")</f>
        <v>78</v>
      </c>
      <c r="AD17" s="374"/>
      <c r="AE17" s="562"/>
      <c r="AF17" s="741">
        <f>IF(ISNUMBER(IF(D_I="SI",Datos!L17,Datos!L17+Datos!AF17)),IF(D_I="SI",Datos!L17,Datos!L17+Datos!AF17)," - ")</f>
        <v>1047</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300</v>
      </c>
      <c r="BD17" s="243">
        <f>IF(ISNUMBER(Datos!N17),Datos!N17," - ")</f>
        <v>1638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0.85931700074239048</v>
      </c>
      <c r="BH17" s="764">
        <f>IF(ISNUMBER(((IF(D_I="SI",Datos!L17/Datos!K17,(Datos!L17+Datos!AF17)/(Datos!K17+Datos!AE17)))*11)/factor_trimestre),((IF(D_I="SI",Datos!L17/Datos!K17,(Datos!L17+Datos!AF17)/(Datos!K17+Datos!AE17)))*11)/factor_trimestre," - ")</f>
        <v>4.9749460043196541</v>
      </c>
      <c r="BI17" s="266">
        <f>IF(ISNUMBER('Resol  Asuntos'!D17/NºAsuntos!G17),'Resol  Asuntos'!D17/NºAsuntos!G17," - ")</f>
        <v>0.12958963282937366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198</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1.2375</v>
      </c>
      <c r="BH18" s="764">
        <f>IF(ISNUMBER(((IF(D_I="SI",Datos!L18/Datos!K18,(Datos!L18+Datos!AF18)/(Datos!K18+Datos!AE18)))*11)/factor_trimestre),((IF(D_I="SI",Datos!L18/Datos!K18,(Datos!L18+Datos!AF18)/(Datos!K18+Datos!AE18)))*11)/factor_trimestre," - ")</f>
        <v>0.66666666666666674</v>
      </c>
      <c r="BI18" s="763">
        <f>IF(ISNUMBER('Resol  Asuntos'!D18/NºAsuntos!G18),'Resol  Asuntos'!D18/NºAsuntos!G18," - ")</f>
        <v>8.5858585858585856E-2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668</v>
      </c>
      <c r="G23" s="1197">
        <f>SUBTOTAL(9,G16:G22)</f>
        <v>699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2513</v>
      </c>
      <c r="AC23" s="1198">
        <f t="shared" si="5"/>
        <v>78</v>
      </c>
      <c r="AD23" s="1198">
        <f t="shared" si="5"/>
        <v>0</v>
      </c>
      <c r="AE23" s="1198">
        <f t="shared" si="5"/>
        <v>0</v>
      </c>
      <c r="AF23" s="1198">
        <f t="shared" si="5"/>
        <v>1059</v>
      </c>
      <c r="AG23" s="1198">
        <f t="shared" si="5"/>
        <v>0</v>
      </c>
      <c r="AH23" s="1198">
        <f t="shared" si="5"/>
        <v>0</v>
      </c>
      <c r="AI23" s="1198">
        <f t="shared" si="5"/>
        <v>0</v>
      </c>
      <c r="AJ23" s="1198">
        <f t="shared" si="5"/>
        <v>0</v>
      </c>
      <c r="AK23" s="1198">
        <f t="shared" si="5"/>
        <v>0</v>
      </c>
      <c r="AL23" s="1198">
        <f t="shared" si="5"/>
        <v>0</v>
      </c>
      <c r="AM23" s="1198">
        <f t="shared" si="5"/>
        <v>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317</v>
      </c>
      <c r="BD23" s="1198">
        <f t="shared" si="5"/>
        <v>1777</v>
      </c>
      <c r="BE23" s="1198">
        <f t="shared" si="5"/>
        <v>0</v>
      </c>
      <c r="BF23" s="1198">
        <f t="shared" si="5"/>
        <v>0</v>
      </c>
      <c r="BG23" s="1198">
        <f>IF(ISNUMBER(Datos!K23/Datos!J23),Datos!K23/Datos!J23," - ")</f>
        <v>0.88051857042747017</v>
      </c>
      <c r="BH23" s="1202">
        <f>IF(ISNUMBER(((Datos!L23/Datos!K23)*11)/factor_trimestre),((Datos!L23/Datos!K23)*11)/factor_trimestre," - ")</f>
        <v>4.6354954237962591</v>
      </c>
      <c r="BI23" s="1198">
        <f>SUBTOTAL(9,BI16:BI22)</f>
        <v>0.21544821868795952</v>
      </c>
      <c r="BJ23" s="1198">
        <f>SUBTOTAL(9,BJ16:BJ22)</f>
        <v>0</v>
      </c>
      <c r="BK23" s="1198">
        <f>SUBTOTAL(9,BK16:BK22)</f>
        <v>0</v>
      </c>
      <c r="BL23" s="1198">
        <f>IF(ISNUMBER((I23-AB23+L23)/(F23)),(I23-AB23+L23)/(F23)," - ")</f>
        <v>-3.7619760479041915</v>
      </c>
      <c r="BM23" s="1205">
        <f>IF(ISNUMBER((Datos!P23-Datos!Q23)/(Datos!R23-Datos!P23+Datos!Q23)),(Datos!P23-Datos!Q23)/(Datos!R23-Datos!P23+Datos!Q23)," - ")</f>
        <v>-0.35365853658536583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674</v>
      </c>
      <c r="G31" s="1117">
        <f t="shared" si="18"/>
        <v>705</v>
      </c>
      <c r="H31" s="1119">
        <f t="shared" si="18"/>
        <v>0</v>
      </c>
      <c r="I31" s="1117">
        <f t="shared" si="18"/>
        <v>0</v>
      </c>
      <c r="J31" s="1119">
        <f t="shared" si="18"/>
        <v>0</v>
      </c>
      <c r="K31" s="1119">
        <f t="shared" si="18"/>
        <v>0</v>
      </c>
      <c r="L31" s="1180">
        <f t="shared" si="18"/>
        <v>0</v>
      </c>
      <c r="M31" s="1180">
        <f t="shared" si="18"/>
        <v>0</v>
      </c>
      <c r="N31" s="1180">
        <f t="shared" si="18"/>
        <v>102</v>
      </c>
      <c r="O31" s="1180">
        <f t="shared" si="18"/>
        <v>0</v>
      </c>
      <c r="P31" s="1180">
        <f t="shared" si="18"/>
        <v>0</v>
      </c>
      <c r="Q31" s="1119">
        <f t="shared" si="18"/>
        <v>342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2521</v>
      </c>
      <c r="AC31" s="1118">
        <f t="shared" si="19"/>
        <v>247</v>
      </c>
      <c r="AD31" s="1118">
        <f t="shared" si="19"/>
        <v>0</v>
      </c>
      <c r="AE31" s="1118">
        <f t="shared" si="19"/>
        <v>0</v>
      </c>
      <c r="AF31" s="1125">
        <f t="shared" si="19"/>
        <v>1065</v>
      </c>
      <c r="AG31" s="1125">
        <f t="shared" si="19"/>
        <v>0</v>
      </c>
      <c r="AH31" s="1125">
        <f t="shared" si="19"/>
        <v>47</v>
      </c>
      <c r="AI31" s="1125">
        <f t="shared" si="19"/>
        <v>0</v>
      </c>
      <c r="AJ31" s="1118">
        <f t="shared" si="19"/>
        <v>0</v>
      </c>
      <c r="AK31" s="1125">
        <f t="shared" si="19"/>
        <v>0</v>
      </c>
      <c r="AL31" s="1125">
        <f t="shared" si="19"/>
        <v>0</v>
      </c>
      <c r="AM31" s="1125">
        <f t="shared" si="19"/>
        <v>1328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653</v>
      </c>
      <c r="BD31" s="1117">
        <f t="shared" si="19"/>
        <v>2165</v>
      </c>
      <c r="BE31" s="1117">
        <f t="shared" si="19"/>
        <v>0</v>
      </c>
      <c r="BF31" s="1127">
        <f t="shared" si="19"/>
        <v>0</v>
      </c>
      <c r="BG31" s="1223">
        <f>IF(ISNUMBER(Datos!K31/Datos!J31),Datos!K31/Datos!J31," - ")</f>
        <v>0.88347506320386116</v>
      </c>
      <c r="BH31" s="1223">
        <f>IF(ISNUMBER(((Datos!L31/Datos!K31)*11)/factor_trimestre),((Datos!L31/Datos!K31)*11)/factor_trimestre," - ")</f>
        <v>6.9365244536940684</v>
      </c>
      <c r="BI31" s="1103">
        <f>IF(ISNUMBER(Datos!J31/Datos!I31),Datos!J31/Datos!I31," - ")</f>
        <v>2.2924130663856692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-3.7403560830860534</v>
      </c>
      <c r="BM31" s="1188">
        <f>IF(ISNUMBER((Datos!P31-Datos!Q31+R31)/(Datos!R31-Datos!P31+Datos!Q31-R31)),(Datos!P31-Datos!Q31+R31)/(Datos!R31-Datos!P31+Datos!Q31-R31)," - ")</f>
        <v>7.7047850770478502E-2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343.41500646690827</v>
      </c>
      <c r="G33" s="674">
        <f>IF(ISNUMBER(STDEV(G8:G30)),STDEV(G8:G30),"-")</f>
        <v>323.61492401868469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1160.6065532421276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170.44710113614221</v>
      </c>
      <c r="BD33" s="673"/>
      <c r="BE33" s="673">
        <f>IF(ISNUMBER(STDEV(BE8:BE30)),STDEV(BE8:BE30),"-")</f>
        <v>0</v>
      </c>
      <c r="BF33" s="678">
        <f>IF(ISNUMBER(STDEV(BF8:BF30)),STDEV(BF8:BF30),"-")</f>
        <v>0</v>
      </c>
      <c r="BG33" s="1052">
        <f>IF(ISNUMBER(STDEV(BG8:BG30)),STDEV(BG8:BG30),"-")</f>
        <v>0.14472321168117841</v>
      </c>
      <c r="BH33" s="1058">
        <f>IF(ISNUMBER(STDEV(BH8:BH30)),STDEV(BH8:BH30),"-")</f>
        <v>4.1138225391290684</v>
      </c>
      <c r="BI33" s="273">
        <f>IF(ISNUMBER(STDEV(BI8:BI30)),STDEV(BI8:BI30),"-")</f>
        <v>7.0749920529661919E-2</v>
      </c>
      <c r="BJ33" s="244" t="str">
        <f>IF(ISNUMBER(BL33/BM33),BL33/BM33," - ")</f>
        <v xml:space="preserve"> - </v>
      </c>
      <c r="BK33" s="709"/>
      <c r="BL33" s="681">
        <f>IF(ISNUMBER(STDEV(BL8:BL30)),STDEV(BL8:BL30),"-")</f>
        <v>1.7173097325523587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Nk2uw0tQIsCSQXcVZ/gaVMPtWdm9dplQ6xkV1ja4eOOAZ3afiuV1yGHffoiajTaJ1yORjfQxEFH15ZrBXheCA==" saltValue="kirGS0KpyoSUs6FTacjU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TORROX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3</v>
      </c>
      <c r="AA10" s="551">
        <f>IF(ISNUMBER(Datos!L10),Datos!L10,"-")</f>
        <v>6</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166</v>
      </c>
      <c r="AA12" s="551" t="str">
        <f>IF(ISNUMBER(IF(J_V="SI",Datos!L12,Datos!L12+Datos!AB12)-IF(Monitorios="SI",Datos!CD12,0)),
                          IF(J_V="SI",Datos!L12,Datos!L12+Datos!AB12)-IF(Monitorios="SI",Datos!CD12,0),
                          " - ")</f>
        <v xml:space="preserve"> - </v>
      </c>
      <c r="AB12" s="549"/>
      <c r="AC12" s="549"/>
      <c r="AD12" s="563"/>
      <c r="AE12" s="563">
        <f>IF(ISNUMBER(Datos!R12),Datos!R12," - ")</f>
        <v>1263</v>
      </c>
      <c r="AF12" s="693" t="str">
        <f>IF(ISNUMBER(Datos!BV12),Datos!BV12," - ")</f>
        <v xml:space="preserve"> - </v>
      </c>
      <c r="AG12" s="552" t="str">
        <f>IF(ISNUMBER(Datos!DV12),Datos!DV12," - ")</f>
        <v xml:space="preserve"> - </v>
      </c>
      <c r="AH12" s="553"/>
      <c r="AI12" s="554"/>
      <c r="AJ12" s="552">
        <f>IF(ISNUMBER(Datos!M12),Datos!M12," - ")</f>
        <v>336</v>
      </c>
      <c r="AK12" s="693">
        <f>IF(ISNUMBER(Datos!N12),Datos!N12," - ")</f>
        <v>388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10.89922480620155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0.10692375109553023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169</v>
      </c>
      <c r="AA14" s="1199">
        <f t="shared" si="3"/>
        <v>6</v>
      </c>
      <c r="AB14" s="1199">
        <f t="shared" si="3"/>
        <v>0</v>
      </c>
      <c r="AC14" s="1199">
        <f t="shared" si="3"/>
        <v>0</v>
      </c>
      <c r="AD14" s="1199">
        <f t="shared" si="3"/>
        <v>0</v>
      </c>
      <c r="AE14" s="1199">
        <f t="shared" si="3"/>
        <v>1275</v>
      </c>
      <c r="AF14" s="1211">
        <f t="shared" si="3"/>
        <v>0</v>
      </c>
      <c r="AG14" s="1211">
        <f t="shared" si="3"/>
        <v>0</v>
      </c>
      <c r="AH14" s="1211">
        <f t="shared" si="3"/>
        <v>0</v>
      </c>
      <c r="AI14" s="1211">
        <f t="shared" si="3"/>
        <v>0</v>
      </c>
      <c r="AJ14" s="1211">
        <f t="shared" si="3"/>
        <v>336</v>
      </c>
      <c r="AK14" s="1211">
        <f t="shared" si="3"/>
        <v>388</v>
      </c>
      <c r="AL14" s="1211">
        <f t="shared" si="3"/>
        <v>0</v>
      </c>
      <c r="AM14" s="1211">
        <f t="shared" si="3"/>
        <v>0</v>
      </c>
      <c r="AN14" s="1211">
        <f t="shared" si="3"/>
        <v>0</v>
      </c>
      <c r="AO14" s="1203">
        <f>IF(ISNUMBER(((NºAsuntos!I14/NºAsuntos!G14)*11)/factor_trimestre),((NºAsuntos!I14/NºAsuntos!G14)*11)/factor_trimestre," - ")</f>
        <v>10.884372810091101</v>
      </c>
      <c r="AP14" s="1213" t="str">
        <f>IF(ISNUMBER(Datos!CI14/Datos!CJ14),Datos!CI14/Datos!CJ14," - ")</f>
        <v xml:space="preserve"> - </v>
      </c>
      <c r="AQ14" s="1236">
        <f t="shared" ref="AQ14:AV14" si="4">SUBTOTAL(9,AQ9:AQ13)</f>
        <v>0</v>
      </c>
      <c r="AR14" s="1236">
        <f t="shared" si="4"/>
        <v>0.30692375109553027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668</v>
      </c>
      <c r="G17" s="552">
        <f>IF(ISNUMBER(IF(D_I="SI",Datos!I17,Datos!I17+Datos!AC17)),IF(D_I="SI",Datos!I17,Datos!I17+Datos!AC17)," - ")</f>
        <v>649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2315</v>
      </c>
      <c r="Z17" s="805">
        <f>IF(ISNUMBER(Datos!Q17),Datos!Q17," - ")</f>
        <v>78</v>
      </c>
      <c r="AA17" s="551">
        <f>IF(ISNUMBER(IF(D_I="SI",Datos!L17,Datos!L17+Datos!AF17)),IF(D_I="SI",Datos!L17,Datos!L17+Datos!AF17)," - ")</f>
        <v>1047</v>
      </c>
      <c r="AB17" s="549"/>
      <c r="AC17" s="549"/>
      <c r="AD17" s="563"/>
      <c r="AE17" s="563">
        <f>IF(ISNUMBER(Datos!R17),Datos!R17," - ")</f>
        <v>53</v>
      </c>
      <c r="AF17" s="693" t="str">
        <f>IF(ISNUMBER(Datos!BV17),Datos!BV17," - ")</f>
        <v xml:space="preserve"> - </v>
      </c>
      <c r="AG17" s="552"/>
      <c r="AH17" s="553"/>
      <c r="AI17" s="554"/>
      <c r="AJ17" s="552">
        <f>IF(ISNUMBER(Datos!M17),Datos!M17," - ")</f>
        <v>300</v>
      </c>
      <c r="AK17" s="693">
        <f>IF(ISNUMBER(Datos!N17),Datos!N17," - ")</f>
        <v>1638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4.9749460043196541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198</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17</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0.66666666666666674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668</v>
      </c>
      <c r="G23" s="1197">
        <f>SUBTOTAL(9,G16:G22)</f>
        <v>699</v>
      </c>
      <c r="H23" s="1240">
        <f>SUBTOTAL(9,H16:H22)</f>
        <v>0</v>
      </c>
      <c r="I23" s="1217">
        <f>SUBTOTAL(9,I16:I22)</f>
        <v>0</v>
      </c>
      <c r="J23" s="1164">
        <f>SUBTOTAL(9,J15:J22)</f>
        <v>0</v>
      </c>
      <c r="K23" s="1240">
        <f t="shared" ref="K23:S23" si="5">SUBTOTAL(9,K16:K22)</f>
        <v>0</v>
      </c>
      <c r="L23" s="1240">
        <f t="shared" si="5"/>
        <v>0</v>
      </c>
      <c r="M23" s="1240">
        <f t="shared" si="5"/>
        <v>0</v>
      </c>
      <c r="N23" s="1240">
        <f t="shared" si="5"/>
        <v>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2513</v>
      </c>
      <c r="Z23" s="1240">
        <f t="shared" si="6"/>
        <v>78</v>
      </c>
      <c r="AA23" s="1240">
        <f t="shared" si="6"/>
        <v>1059</v>
      </c>
      <c r="AB23" s="1240">
        <f t="shared" si="6"/>
        <v>0</v>
      </c>
      <c r="AC23" s="1240">
        <f t="shared" si="6"/>
        <v>0</v>
      </c>
      <c r="AD23" s="1240">
        <f t="shared" si="6"/>
        <v>0</v>
      </c>
      <c r="AE23" s="1240">
        <f t="shared" si="6"/>
        <v>53</v>
      </c>
      <c r="AF23" s="1240">
        <f t="shared" si="6"/>
        <v>0</v>
      </c>
      <c r="AG23" s="1240">
        <f t="shared" si="6"/>
        <v>0</v>
      </c>
      <c r="AH23" s="1240">
        <f t="shared" si="6"/>
        <v>0</v>
      </c>
      <c r="AI23" s="1240">
        <f t="shared" si="6"/>
        <v>0</v>
      </c>
      <c r="AJ23" s="1240">
        <f t="shared" si="6"/>
        <v>317</v>
      </c>
      <c r="AK23" s="1240">
        <f t="shared" si="6"/>
        <v>1777</v>
      </c>
      <c r="AL23" s="1240">
        <f t="shared" si="6"/>
        <v>0</v>
      </c>
      <c r="AM23" s="1240">
        <f t="shared" si="6"/>
        <v>0</v>
      </c>
      <c r="AN23" s="1240">
        <f t="shared" si="6"/>
        <v>0</v>
      </c>
      <c r="AO23" s="1242">
        <f>IF(ISNUMBER(((NºAsuntos!I23/NºAsuntos!G23)*11)/factor_trimestre),((NºAsuntos!I23/NºAsuntos!G23)*11)/factor_trimestre," - ")</f>
        <v>4.6354954237962591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674</v>
      </c>
      <c r="G31" s="1117">
        <f t="shared" si="12"/>
        <v>705</v>
      </c>
      <c r="H31" s="1118">
        <f t="shared" si="12"/>
        <v>0</v>
      </c>
      <c r="I31" s="1117">
        <f t="shared" si="12"/>
        <v>0</v>
      </c>
      <c r="J31" s="1119">
        <f t="shared" si="12"/>
        <v>0</v>
      </c>
      <c r="K31" s="1117">
        <f t="shared" si="12"/>
        <v>0</v>
      </c>
      <c r="L31" s="1120">
        <f t="shared" si="12"/>
        <v>0</v>
      </c>
      <c r="M31" s="1117">
        <f t="shared" si="12"/>
        <v>0</v>
      </c>
      <c r="N31" s="1118">
        <f t="shared" si="12"/>
        <v>342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2521</v>
      </c>
      <c r="Z31" s="1124">
        <f t="shared" si="13"/>
        <v>247</v>
      </c>
      <c r="AA31" s="1125">
        <f t="shared" si="13"/>
        <v>1065</v>
      </c>
      <c r="AB31" s="1125">
        <f t="shared" si="13"/>
        <v>0</v>
      </c>
      <c r="AC31" s="1125">
        <f t="shared" si="13"/>
        <v>0</v>
      </c>
      <c r="AD31" s="1126">
        <f t="shared" si="13"/>
        <v>0</v>
      </c>
      <c r="AE31" s="1126">
        <f t="shared" si="13"/>
        <v>1328</v>
      </c>
      <c r="AF31" s="1127">
        <f t="shared" si="13"/>
        <v>0</v>
      </c>
      <c r="AG31" s="1128">
        <f t="shared" si="13"/>
        <v>0</v>
      </c>
      <c r="AH31" s="1129">
        <f t="shared" si="13"/>
        <v>0</v>
      </c>
      <c r="AI31" s="1127">
        <f t="shared" si="13"/>
        <v>0</v>
      </c>
      <c r="AJ31" s="1117">
        <f t="shared" si="13"/>
        <v>653</v>
      </c>
      <c r="AK31" s="1117">
        <f t="shared" si="13"/>
        <v>2165</v>
      </c>
      <c r="AL31" s="1117">
        <f t="shared" si="13"/>
        <v>0</v>
      </c>
      <c r="AM31" s="1130">
        <f t="shared" si="13"/>
        <v>0</v>
      </c>
      <c r="AN31" s="1120">
        <f>IF(ISNUMBER(Datos!K31/Datos!J31),Datos!K31/Datos!J31," - ")</f>
        <v>0.88347506320386116</v>
      </c>
      <c r="AO31" s="1120">
        <f>IF(ISNUMBER(FIND("06",Criterios!A8,1)),(IF(ISNUMBER(((Datos!R31/Datos!Q31)*11)/factor_trimestre),((Datos!R31/Datos!Q31)*11)/factor_trimestre," - ")),(IF(ISNUMBER(((Datos!L31/Datos!K31)*11)/factor_trimestre),((Datos!L31/Datos!K31)*11)/factor_trimestre," - ")))</f>
        <v>6.9365244536940684</v>
      </c>
      <c r="AP31" s="1131" t="str">
        <f>IF(ISNUMBER(Datos!CI31/Datos!CJ31),Datos!CI31/Datos!CJ31," - ")</f>
        <v xml:space="preserve"> - </v>
      </c>
      <c r="AQ31" s="1131">
        <f>IF(OR(ISNUMBER(FIND("01",Criterios!A8,1)),ISNUMBER(FIND("02",Criterios!A8,1)),ISNUMBER(FIND("03",Criterios!A8,1)),ISNUMBER(FIND("04",Criterios!A8,1))),(J31-Y31+K31)/(F31-K31),(I31-Y31+K31)/(F31-K31))</f>
        <v>-3.7403560830860534</v>
      </c>
      <c r="AR31" s="1131">
        <f>IF(ISNUMBER((Datos!P31-Datos!Q31+O31)/(Datos!R31-Datos!P31+Datos!Q31-O31)),(Datos!P31-Datos!Q31+O31)/(Datos!R31-Datos!P31+Datos!Q31-O31)," - ")</f>
        <v>7.7047850770478502E-2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343.41500646690827</v>
      </c>
      <c r="G33" s="674">
        <f>IF(ISNUMBER(STDEV(G8:G30)),STDEV(G8:G30),"-")</f>
        <v>323.61492401868469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170.44710113614221</v>
      </c>
      <c r="AK33" s="276"/>
      <c r="AL33" s="276">
        <f>IF(ISNUMBER(STDEV(AL8:AL30)),STDEV(AL8:AL30),"-")</f>
        <v>0</v>
      </c>
      <c r="AM33" s="278">
        <f>IF(ISNUMBER(STDEV(AM8:AM30)),STDEV(AM8:AM30),"-")</f>
        <v>0</v>
      </c>
      <c r="AN33" s="660">
        <f>IF(ISNUMBER(STDEV(AN8:AN30)),STDEV(AN8:AN30),"-")</f>
        <v>0</v>
      </c>
      <c r="AO33" s="661">
        <f>IF(ISNUMBER(STDEV(AO8:AO30)),STDEV(AO8:AO30),"-")</f>
        <v>4.0294422369701284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6sdR85o4iqC5kJW5RQIVbvR8zu1xLD4BoT6WKTwWh0kG4r1+A6X/qhFeObNGyI9jMsHQ0ZiHMmbsTojANp0+A==" saltValue="EJBVgIi702oDwEjRDqMR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IqZpQsPpHTnxqdw4u3Mu0C8KDtx7q/TUy6sMSdoxrpW9zv+wTh4O0N9YQrahMiFtr6vF2WsXHarvictl/reLw==" saltValue="f41W4Z9xvz8eUOV+8a1s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e6wokxKbGa7N6cYGPY/K5gT0WeHLHJGvxXkY1VJ9zt82evD9NEBjzDYzjGCP1NU4oPMJYJiZ5JhIWbNvvjIVw==" saltValue="V04ckfMm6UpBn0tu3vVY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TORROX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0.23545900490539592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0.16649465906004202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Ijm64YH4hnerRvwPtmlaEv1peEwJezaTb9fX5pAR6VMgOhYRzzlD6LjkckSIiIanuaxi+qqsYYM8PfmqnOJWg==" saltValue="eWtrIcP+VoRD9co6PrAK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MBgBCSfbmFG7OoGibnsY5GU8SzuLGCgOYch+RyvZKULTrRTLzh5syvyVxeple7Gi1fuHMINEyowVFbm8QrWEg==" saltValue="s20N3YalLYUPdQfKqbEN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TORROX</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8</v>
      </c>
      <c r="F10" s="452">
        <f>IF(ISNUMBER(E10/B10),E10/B10," - ")</f>
        <v>8</v>
      </c>
      <c r="G10" s="451">
        <f>IF(ISNUMBER(Datos!K10),Datos!K10," - ")</f>
        <v>8</v>
      </c>
      <c r="H10" s="452">
        <f>IF(ISNUMBER(G10/B10),G10/B10," - ")</f>
        <v>8</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1234</v>
      </c>
      <c r="D12" s="452">
        <f>IF(ISNUMBER(C12/Datos!BH12),C12/Datos!BH12," - ")</f>
        <v>617</v>
      </c>
      <c r="E12" s="451">
        <f>IF(ISNUMBER(IF(J_V="SI",Datos!J12,Datos!J12+Datos!Z12)),IF(J_V="SI",Datos!J12,Datos!J12+Datos!Z12)," - ")</f>
        <v>1591</v>
      </c>
      <c r="F12" s="452">
        <f>IF(ISNUMBER(E12/B12),E12/B12," - ")</f>
        <v>795.5</v>
      </c>
      <c r="G12" s="451">
        <f>IF(ISNUMBER(IF(J_V="SI",Datos!K12,Datos!K12+Datos!AA12)),IF(J_V="SI",Datos!K12,Datos!K12+Datos!AA12)," - ")</f>
        <v>1419</v>
      </c>
      <c r="H12" s="452">
        <f>IF(ISNUMBER(G12/B12),G12/B12," - ")</f>
        <v>709.5</v>
      </c>
      <c r="I12" s="451">
        <f>IF(ISNUMBER(IF(J_V="SI",Datos!L12,Datos!L12+Datos!AB12)),IF(J_V="SI",Datos!L12,Datos!L12+Datos!AB12)," - ")</f>
        <v>1406</v>
      </c>
      <c r="J12" s="452">
        <f>IF(ISNUMBER(I12/B12),I12/B12," - ")</f>
        <v>703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1240</v>
      </c>
      <c r="D14" s="1147" t="str">
        <f>IF(ISNUMBER(C14/Datos!BI14),C14/Datos!BI14," - ")</f>
        <v xml:space="preserve"> - </v>
      </c>
      <c r="E14" s="1146">
        <f>SUBTOTAL(9,E8:E13)</f>
        <v>1599</v>
      </c>
      <c r="F14" s="1147">
        <f>IF(ISNUMBER(E14/B14),E14/B14," - ")</f>
        <v>799.5</v>
      </c>
      <c r="G14" s="1146">
        <f>SUBTOTAL(9,G8:G13)</f>
        <v>1427</v>
      </c>
      <c r="H14" s="1147">
        <f>IF(ISNUMBER(G14/B14),G14/B14," - ")</f>
        <v>713.5</v>
      </c>
      <c r="I14" s="1146">
        <f>SUBTOTAL(9,I8:I13)</f>
        <v>1412</v>
      </c>
      <c r="J14" s="1147">
        <f>IF(ISNUMBER(I14/B14),I14/B14," - ")</f>
        <v>706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649</v>
      </c>
      <c r="D17" s="452">
        <f>IF(ISNUMBER(C17/Datos!BH17),C17/Datos!BH17," - ")</f>
        <v>324.5</v>
      </c>
      <c r="E17" s="451">
        <f>IF(ISNUMBER(IF(D_I="SI",Datos!J17,Datos!J17+Datos!AD17)),IF(D_I="SI",Datos!J17,Datos!J17+Datos!AD17)," - ")</f>
        <v>2694</v>
      </c>
      <c r="F17" s="452">
        <f>IF(ISNUMBER(E17/B17),E17/B17," - ")</f>
        <v>1347</v>
      </c>
      <c r="G17" s="451">
        <f>IF(ISNUMBER(IF(D_I="SI",Datos!K17,Datos!K17+Datos!AE17)),IF(D_I="SI",Datos!K17,Datos!K17+Datos!AE17)," - ")</f>
        <v>2315</v>
      </c>
      <c r="H17" s="452">
        <f>IF(ISNUMBER(G17/B17),G17/B17," - ")</f>
        <v>1157.5</v>
      </c>
      <c r="I17" s="451">
        <f>IF(ISNUMBER(IF(D_I="SI",Datos!L17,Datos!L17+Datos!AF17)),IF(D_I="SI",Datos!L17,Datos!L17+Datos!AF17)," - ")</f>
        <v>1047</v>
      </c>
      <c r="J17" s="452">
        <f>IF(ISNUMBER(I17/B17),I17/B17," - ")</f>
        <v>523.5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160</v>
      </c>
      <c r="F18" s="452">
        <f>IF(ISNUMBER(E18/B18),E18/B18," - ")</f>
        <v>160</v>
      </c>
      <c r="G18" s="451">
        <f>IF(ISNUMBER(IF(D_I="SI",Datos!K18,Datos!K18+Datos!AE18)),IF(D_I="SI",Datos!K18,Datos!K18+Datos!AE18)," - ")</f>
        <v>198</v>
      </c>
      <c r="H18" s="452">
        <f>IF(ISNUMBER(G18/B18),G18/B18," - ")</f>
        <v>198</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699</v>
      </c>
      <c r="D23" s="1147" t="str">
        <f>IF(ISNUMBER(C23/Datos!BI23),C23/Datos!BI23," - ")</f>
        <v xml:space="preserve"> - </v>
      </c>
      <c r="E23" s="1146">
        <f>SUBTOTAL(9,E15:E22)</f>
        <v>2854</v>
      </c>
      <c r="F23" s="1147">
        <f>IF(ISNUMBER(E23/B23),E23/B23," - ")</f>
        <v>1427</v>
      </c>
      <c r="G23" s="1146">
        <f>SUBTOTAL(9,G15:G22)</f>
        <v>2513</v>
      </c>
      <c r="H23" s="1147">
        <f>IF(ISNUMBER(G23/B23),G23/B23," - ")</f>
        <v>1256.5</v>
      </c>
      <c r="I23" s="1146">
        <f>SUBTOTAL(9,I15:I22)</f>
        <v>1059</v>
      </c>
      <c r="J23" s="1147">
        <f>IF(ISNUMBER(I23/B23),I23/B23," - ")</f>
        <v>529.5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1939</v>
      </c>
      <c r="D31" s="1085" t="str">
        <f>IF(ISNUMBER(C31/Datos!BI31),C31/Datos!BI31," - ")</f>
        <v xml:space="preserve"> - </v>
      </c>
      <c r="E31" s="1084">
        <f>SUBTOTAL(9,E9:E30)</f>
        <v>4453</v>
      </c>
      <c r="F31" s="1085">
        <f>IF(ISNUMBER(E31/B31),E31/B31," - ")</f>
        <v>2226.5</v>
      </c>
      <c r="G31" s="1084">
        <f>SUBTOTAL(9,G9:G30)</f>
        <v>3940</v>
      </c>
      <c r="H31" s="1085">
        <f>IF(ISNUMBER(G31/B31),G31/B31," - ")</f>
        <v>1970</v>
      </c>
      <c r="I31" s="1084">
        <f>SUBTOTAL(9,I9:I30)</f>
        <v>2471</v>
      </c>
      <c r="J31" s="1085">
        <f>IF(ISNUMBER(I31/B31),I31/B31," - ")</f>
        <v>1235.5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KZtixvZy2SxAYK3kWZQSGhB0l6LDKKmuOmCfvS2KAqXWjKDS8pXxMPgV8jKsYgXQtnfD4PDR1M/+MumotZXCQ==" saltValue="+bazcxKRS5U4+DdADTr7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TORROX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336</v>
      </c>
      <c r="AM12" s="914">
        <f>IF(ISNUMBER(Datos!N12+DatosP!N17),Datos!N12+DatosP!N17," - ")</f>
        <v>388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10.89922480620155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0.10692375109553023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166</v>
      </c>
      <c r="AE14" s="1257">
        <f t="shared" si="1"/>
        <v>0</v>
      </c>
      <c r="AF14" s="1257">
        <f t="shared" si="1"/>
        <v>6</v>
      </c>
      <c r="AG14" s="1257">
        <f t="shared" si="1"/>
        <v>0</v>
      </c>
      <c r="AH14" s="1257">
        <f t="shared" si="1"/>
        <v>1263</v>
      </c>
      <c r="AI14" s="1257">
        <f t="shared" si="1"/>
        <v>0</v>
      </c>
      <c r="AJ14" s="1257">
        <f t="shared" si="1"/>
        <v>0</v>
      </c>
      <c r="AK14" s="1257">
        <f t="shared" si="1"/>
        <v>0</v>
      </c>
      <c r="AL14" s="1257">
        <f t="shared" si="1"/>
        <v>336</v>
      </c>
      <c r="AM14" s="1257">
        <f t="shared" si="1"/>
        <v>388</v>
      </c>
      <c r="AN14" s="1257">
        <f t="shared" si="1"/>
        <v>0</v>
      </c>
      <c r="AO14" s="1257">
        <f t="shared" si="1"/>
        <v>0</v>
      </c>
      <c r="AP14" s="1262">
        <f>IF(ISNUMBER(((Datos!L14/Datos!K14)*11)/factor_trimestre),((Datos!L14/Datos!K14)*11)/factor_trimestre," - ")</f>
        <v>11.28099173553719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-1.3333333333333333</v>
      </c>
      <c r="AU14" s="1257" t="str">
        <f>IF(ISNUMBER((DatosP!#REF!-DatosP!#REF!+DatosP!#REF!)/(DatosP!#REF!+DatosP!#REF!-DatosP!#REF!-DatosP!#REF!)),(DatosP!#REF!-DatosP!#REF!+DatosP!#REF!)/(DatosP!#REF!+DatosP!#REF!-DatosP!#REF!-DatosP!#REF!)," - ")</f>
        <v xml:space="preserve"> - </v>
      </c>
      <c r="AV14" s="1263">
        <f>SUBTOTAL(9,AV9:AV13)</f>
        <v>0.10692375109553023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4.6354954237962591</v>
      </c>
      <c r="AQ23" s="1262">
        <f>IF(ISNUMBER(((Datos!M23/Datos!L23)*11)/factor_trimestre),((Datos!M23/Datos!L23)*11)/factor_trimestre," - ")</f>
        <v>3.2927289896128422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-0.35365853658536583</v>
      </c>
      <c r="AW23" s="1265">
        <f>IF(ISNUMBER((Datos!Q23-Datos!R23)/(Datos!S23-Datos!Q23+Datos!R23)),(Datos!Q23-Datos!R23)/(Datos!S23-Datos!Q23+Datos!R23)," - ")</f>
        <v>2.7382256297918947E-2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166</v>
      </c>
      <c r="AE31" s="1284">
        <f t="shared" si="9"/>
        <v>0</v>
      </c>
      <c r="AF31" s="1285">
        <f t="shared" si="9"/>
        <v>6</v>
      </c>
      <c r="AG31" s="1285">
        <f t="shared" si="9"/>
        <v>0</v>
      </c>
      <c r="AH31" s="1285">
        <f t="shared" si="9"/>
        <v>1263</v>
      </c>
      <c r="AI31" s="1285">
        <f t="shared" si="9"/>
        <v>0</v>
      </c>
      <c r="AJ31" s="1286">
        <f t="shared" si="9"/>
        <v>0</v>
      </c>
      <c r="AK31" s="1286">
        <f t="shared" si="9"/>
        <v>0</v>
      </c>
      <c r="AL31" s="1278">
        <f t="shared" si="9"/>
        <v>336</v>
      </c>
      <c r="AM31" s="1278">
        <f t="shared" si="9"/>
        <v>388</v>
      </c>
      <c r="AN31" s="1278">
        <f t="shared" si="9"/>
        <v>0</v>
      </c>
      <c r="AO31" s="1278">
        <f t="shared" si="9"/>
        <v>0</v>
      </c>
      <c r="AP31" s="1278">
        <f>IF(ISNUMBER(((Datos!L31/Datos!K31)*11)/factor_trimestre),((Datos!L31/Datos!K31)*11)/factor_trimestre," - ")</f>
        <v>6.9365244536940684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7.7047850770478502E-2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173.50965391009228</v>
      </c>
      <c r="AM33" s="1006"/>
      <c r="AN33" s="1006">
        <f>IF(ISNUMBER(STDEV(AN8:AN30)),STDEV(AN8:AN30),"-")</f>
        <v>0</v>
      </c>
      <c r="AO33" s="1012">
        <f>IF(ISNUMBER(STDEV(AO8:AO30)),STDEV(AO8:AO30),"-")</f>
        <v>0</v>
      </c>
      <c r="AP33" s="1065">
        <f>IF(ISNUMBER(STDEV(AP8:AP30)),STDEV(AP8:AP30),"-")</f>
        <v>3.0661134369614977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XqVOXhD4wqq2HDapmTwbhfvpPSb9i/7gJV+UFI2+C8diNcUH7Z+2BUdxk+NhxTGXbgiwe8IffqlZGQlLoZXg==" saltValue="dG5Ib0EmnYn/0STsak8e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TORROX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tQdPLTA/5rnl/mFls7195Q+tIwRlgW7hJxM1KdKKbM4yhK+KM+BYOXwMZOxGpU9DOt4nVmzza4eKKe7VI1vPg==" saltValue="vfvVrl27N0gwFz+abzYx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TORROX</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336</v>
      </c>
      <c r="E12" s="452">
        <f t="shared" si="0"/>
        <v>168</v>
      </c>
      <c r="F12" s="451">
        <f>IF(ISNUMBER(Datos!N12),Datos!N12," - ")</f>
        <v>388</v>
      </c>
      <c r="G12" s="452">
        <f t="shared" si="1"/>
        <v>194</v>
      </c>
      <c r="H12" s="451">
        <f>IF(ISNUMBER(Datos!O12),Datos!O12," - ")</f>
        <v>720</v>
      </c>
      <c r="I12" s="452">
        <f t="shared" si="2"/>
        <v>360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336</v>
      </c>
      <c r="E14" s="1147">
        <f t="shared" si="0"/>
        <v>112</v>
      </c>
      <c r="F14" s="1146">
        <f>SUBTOTAL(9,F9:F13)</f>
        <v>388</v>
      </c>
      <c r="G14" s="1147">
        <f t="shared" si="1"/>
        <v>129.33333333333334</v>
      </c>
      <c r="H14" s="1146">
        <f>SUBTOTAL(9,H9:H13)</f>
        <v>720</v>
      </c>
      <c r="I14" s="1147">
        <f>IF(ISNUMBER(H14/B14),H14/B14," - ")</f>
        <v>240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300</v>
      </c>
      <c r="E17" s="452">
        <f t="shared" si="3"/>
        <v>150</v>
      </c>
      <c r="F17" s="451">
        <f>IF(ISNUMBER(Datos!N17),Datos!N17," - ")</f>
        <v>1638</v>
      </c>
      <c r="G17" s="452">
        <f t="shared" si="4"/>
        <v>819</v>
      </c>
      <c r="H17" s="451">
        <f>IF(ISNUMBER(Datos!O17),Datos!O17," - ")</f>
        <v>9</v>
      </c>
      <c r="I17" s="452">
        <f t="shared" si="5"/>
        <v>4.5</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139</v>
      </c>
      <c r="G18" s="452">
        <f>IF(ISNUMBER(F18/B18),F18/B18," - ")</f>
        <v>139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317</v>
      </c>
      <c r="E23" s="1147">
        <f t="shared" si="3"/>
        <v>105.66666666666667</v>
      </c>
      <c r="F23" s="1146">
        <f>SUBTOTAL(9,F16:F22)</f>
        <v>1777</v>
      </c>
      <c r="G23" s="1147">
        <f t="shared" si="4"/>
        <v>592.33333333333337</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653</v>
      </c>
      <c r="E31" s="1085">
        <f>IF(ISNUMBER(D31/B31),D31/B31," - ")</f>
        <v>326.5</v>
      </c>
      <c r="F31" s="1084">
        <f>SUBTOTAL(9,F8:F30)</f>
        <v>2165</v>
      </c>
      <c r="G31" s="1085">
        <f>IF(ISNUMBER(F31/B31),F31/B31," - ")</f>
        <v>1082.5</v>
      </c>
      <c r="H31" s="1084">
        <f>SUBTOTAL(9,H8:H30)</f>
        <v>729</v>
      </c>
      <c r="I31" s="1085">
        <f>IF(ISNUMBER(H31/B31),H31/B31," - ")</f>
        <v>364.5</v>
      </c>
    </row>
    <row r="34" spans="1:1">
      <c r="A34" s="439" t="str">
        <f>Criterios!A4</f>
        <v>Fecha Informe: 06 may. 2023</v>
      </c>
    </row>
    <row r="39" spans="1:1">
      <c r="A39" s="462"/>
    </row>
  </sheetData>
  <sheetProtection algorithmName="SHA-512" hashValue="8pIaUeXER5jNhqeTLKw1lKZKzbWoHsqkkwbqKHdqJdrG/FqotAF4JIK2tIXr4VHQ/isCycg0BUIyprEhk6uPGg==" saltValue="jmwF9jXILhjK4jADZ86r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TORROX</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3</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288</v>
      </c>
      <c r="C12" s="489">
        <f>IF(ISNUMBER(Datos!Q12),Datos!Q12," - ")</f>
        <v>166</v>
      </c>
      <c r="D12" s="456">
        <f>IF(ISNUMBER(Datos!R12),Datos!R12," - ")</f>
        <v>1263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293</v>
      </c>
      <c r="C14" s="1150">
        <f>SUBTOTAL(9,C9:C13)</f>
        <v>169</v>
      </c>
      <c r="D14" s="1148">
        <f>SUBTOTAL(9,D9:D13)</f>
        <v>1275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78</v>
      </c>
      <c r="D17" s="456">
        <f>IF(ISNUMBER(Datos!R17),Datos!R17," - ")</f>
        <v>53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49</v>
      </c>
      <c r="C23" s="1150">
        <f>SUBTOTAL(9,C16:C22)</f>
        <v>78</v>
      </c>
      <c r="D23" s="1148">
        <f>SUBTOTAL(9,D16:D22)</f>
        <v>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342</v>
      </c>
      <c r="C31" s="1089">
        <f>SUBTOTAL(9,C8:C30)</f>
        <v>247</v>
      </c>
      <c r="D31" s="1090">
        <f>SUBTOTAL(9,D8:D30)</f>
        <v>1328</v>
      </c>
    </row>
    <row r="32" spans="1:4" ht="7.5" customHeight="1"/>
    <row r="33" spans="1:1" ht="6" customHeight="1"/>
    <row r="34" spans="1:1">
      <c r="A34" s="439" t="str">
        <f>Criterios!A4</f>
        <v>Fecha Informe: 06 may. 2023</v>
      </c>
    </row>
    <row r="39" spans="1:1">
      <c r="A39" s="462"/>
    </row>
  </sheetData>
  <sheetProtection algorithmName="SHA-512" hashValue="+WNEgRfOs6VXHud4tYwQl5oy3o6HCsXip33pxOEBjlphZsSlGP78T/SC6ob5CY7nqJC6dSahSzgyM8bH7qgCWw==" saltValue="O2N7HaBZ6kYQdPaatBP0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TORROX</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-0.6</v>
      </c>
      <c r="D10" s="515">
        <f>IF(ISNUMBER((Datos!K10-Datos!U10)/Datos!U10),(Datos!K10-Datos!U10)/Datos!U10," - ")</f>
        <v>-0.55555555555555558</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0.11111111111111108</v>
      </c>
      <c r="I10" s="515">
        <f>IF(ISNUMBER(((NºAsuntos!I10/NºAsuntos!G10)-Datos!BE10)/Datos!BE10),((NºAsuntos!I10/NºAsuntos!G10)-Datos!BE10)/Datos!BE10," - ")</f>
        <v>1.2500000000000002</v>
      </c>
      <c r="J10" s="521">
        <f>IF(ISNUMBER((('Resol  Asuntos'!D10/NºAsuntos!G10)-Datos!BF10)/Datos!BF10),(('Resol  Asuntos'!D10/NºAsuntos!G10)-Datos!BF10)/Datos!BF10," - ")</f>
        <v>-1</v>
      </c>
      <c r="K10" s="522">
        <f>IF(ISNUMBER((((NºAsuntos!C10+NºAsuntos!E10)/NºAsuntos!G10)-Datos!BG10)/Datos!BG10),(((NºAsuntos!C10+NºAsuntos!E10)/NºAsuntos!G10)-Datos!BG10)/Datos!BG10," - ")</f>
        <v>0.31250000000000006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5.9227467811158799E-2</v>
      </c>
      <c r="C12" s="515">
        <f>IF(ISNUMBER(
   IF(J_V="SI",(Datos!J12-Datos!T12)/Datos!T12,(Datos!J12+Datos!Z12-(Datos!T12+Datos!AH12))/(Datos!T12+Datos!AH12))
     ),IF(J_V="SI",(Datos!J12-Datos!T12)/Datos!T12,(Datos!J12+Datos!Z12-(Datos!T12+Datos!AH12))/(Datos!T12+Datos!AH12))," - ")</f>
        <v>9.422283356258597E-2</v>
      </c>
      <c r="D12" s="515">
        <f>IF(ISNUMBER(
   IF(J_V="SI",(Datos!K12-Datos!U12)/Datos!U12,(Datos!K12+Datos!AA12-(Datos!U12+Datos!AI12))/(Datos!U12+Datos!AI12))
     ),IF(J_V="SI",(Datos!K12-Datos!U12)/Datos!U12,(Datos!K12+Datos!AA12-(Datos!U12+Datos!AI12))/(Datos!U12+Datos!AI12))," - ")</f>
        <v>2.4548736462093861E-2</v>
      </c>
      <c r="E12" s="515">
        <f>IF(ISNUMBER(
   IF(J_V="SI",(Datos!L12-Datos!V12)/Datos!V12,(Datos!L12+Datos!AB12-(Datos!V12+Datos!AJ12))/(Datos!V12+Datos!AJ12))
     ),IF(J_V="SI",(Datos!L12-Datos!V12)/Datos!V12,(Datos!L12+Datos!AB12-(Datos!V12+Datos!AJ12))/(Datos!V12+Datos!AJ12))," - ")</f>
        <v>0.13938411669367909</v>
      </c>
      <c r="F12" s="515">
        <f>IF(ISNUMBER((Datos!M12-Datos!W12)/Datos!W12),(Datos!M12-Datos!W12)/Datos!W12," - ")</f>
        <v>-5.3521126760563378E-2</v>
      </c>
      <c r="G12" s="516">
        <f>IF(ISNUMBER((Datos!N12-Datos!X12)/Datos!X12),(Datos!N12-Datos!X12)/Datos!X12," - ")</f>
        <v>-7.3985680190930783E-2</v>
      </c>
      <c r="H12" s="514">
        <f>IF(ISNUMBER(((NºAsuntos!G12/NºAsuntos!E12)-Datos!BD12)/Datos!BD12),((NºAsuntos!G12/NºAsuntos!E12)-Datos!BD12)/Datos!BD12," - ")</f>
        <v>-6.3674504829739437E-2</v>
      </c>
      <c r="I12" s="515">
        <f>IF(ISNUMBER(((NºAsuntos!I12/NºAsuntos!G12)-Datos!BE12)/Datos!BE12),((NºAsuntos!I12/NºAsuntos!G12)-Datos!BE12)/Datos!BE12," - ")</f>
        <v>0.11208386301673404</v>
      </c>
      <c r="J12" s="521">
        <f>IF(ISNUMBER((('Resol  Asuntos'!D12/NºAsuntos!G12)-Datos!BF12)/Datos!BF12),(('Resol  Asuntos'!D12/NºAsuntos!G12)-Datos!BF12)/Datos!BF12," - ")</f>
        <v>-0.21730486863416884</v>
      </c>
      <c r="K12" s="522">
        <f>IF(ISNUMBER((((NºAsuntos!C12+NºAsuntos!E12)/NºAsuntos!G12)-Datos!BG12)/Datos!BG12),(((NºAsuntos!C12+NºAsuntos!E12)/NºAsuntos!G12)-Datos!BG12)/Datos!BG12," - ")</f>
        <v>5.2810800673023982E-2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6.0735671514114631E-2</v>
      </c>
      <c r="C14" s="1152">
        <f>IF(ISNUMBER(
   IF(J_V="SI",(Datos!J14-Datos!T14)/Datos!T14,(Datos!J14+Datos!Z14-(Datos!T14+Datos!AH14))/(Datos!T14+Datos!AH14))
     ),IF(J_V="SI",(Datos!J14-Datos!T14)/Datos!T14,(Datos!J14+Datos!Z14-(Datos!T14+Datos!AH14))/(Datos!T14+Datos!AH14))," - ")</f>
        <v>8.4803256445047492E-2</v>
      </c>
      <c r="D14" s="1152">
        <f>IF(ISNUMBER(
   IF(J_V="SI",(Datos!K14-Datos!U14)/Datos!U14,(Datos!K14+Datos!AA14-(Datos!U14+Datos!AI14))/(Datos!U14+Datos!AI14))
     ),IF(J_V="SI",(Datos!K14-Datos!U14)/Datos!U14,(Datos!K14+Datos!AA14-(Datos!U14+Datos!AI14))/(Datos!U14+Datos!AI14))," - ")</f>
        <v>1.7106200997861726E-2</v>
      </c>
      <c r="E14" s="1152">
        <f>IF(ISNUMBER(
   IF(J_V="SI",(Datos!L14-Datos!V14)/Datos!V14,(Datos!L14+Datos!AB14-(Datos!V14+Datos!AJ14))/(Datos!V14+Datos!AJ14))
     ),IF(J_V="SI",(Datos!L14-Datos!V14)/Datos!V14,(Datos!L14+Datos!AB14-(Datos!V14+Datos!AJ14))/(Datos!V14+Datos!AJ14))," - ")</f>
        <v>0.13870967741935483</v>
      </c>
      <c r="F14" s="1153">
        <f>IF(ISNUMBER((Datos!M14-Datos!W14)/Datos!W14),(Datos!M14-Datos!W14)/Datos!W14," - ")</f>
        <v>-8.6956521739130432E-2</v>
      </c>
      <c r="G14" s="1154">
        <f>IF(ISNUMBER((Datos!N14-Datos!X14)/Datos!X14),(Datos!N14-Datos!X14)/Datos!X14," - ")</f>
        <v>-7.3985680190930783E-2</v>
      </c>
      <c r="H14" s="1154">
        <f>IF(ISNUMBER(((NºAsuntos!G14/NºAsuntos!E14)-Datos!BD14)/Datos!BD14),((NºAsuntos!G14/NºAsuntos!E14)-Datos!BD14)/Datos!BD14," - ")</f>
        <v>-6.2404915402846678E-2</v>
      </c>
      <c r="I14" s="1154">
        <f>IF(ISNUMBER(((NºAsuntos!I14/NºAsuntos!G14)-Datos!BE14)/Datos!BE14),((NºAsuntos!I14/NºAsuntos!G14)-Datos!BE14)/Datos!BE14," - ")</f>
        <v>0.11955828831069018</v>
      </c>
      <c r="J14" s="1154">
        <f>IF(ISNUMBER((('Resol  Asuntos'!D14/NºAsuntos!G14)-Datos!BF14)/Datos!BF14),(('Resol  Asuntos'!D14/NºAsuntos!G14)-Datos!BF14)/Datos!BF14," - ")</f>
        <v>-0.23530327805029985</v>
      </c>
      <c r="K14" s="1154">
        <f>IF(ISNUMBER((((NºAsuntos!C14+NºAsuntos!E14)/NºAsuntos!G14)-Datos!BG14)/Datos!BG14),(((NºAsuntos!C14+NºAsuntos!E14)/NºAsuntos!G14)-Datos!BG14)/Datos!BG14," - ")</f>
        <v>5.60924243304032E-2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-0.2427071178529755</v>
      </c>
      <c r="C17" s="515">
        <f>IF(ISNUMBER(
   IF(D_I="SI",(Datos!J17-Datos!T17)/Datos!T17,(Datos!J17+Datos!AD17-(Datos!T17+Datos!AL17))/(Datos!T17+Datos!AL17))
     ),IF(D_I="SI",(Datos!J17-Datos!T17)/Datos!T17,(Datos!J17+Datos!AD17-(Datos!T17+Datos!AL17))/(Datos!T17+Datos!AL17))," - ")</f>
        <v>1.0881801125703566E-2</v>
      </c>
      <c r="D17" s="515">
        <f>IF(ISNUMBER(
   IF(D_I="SI",(Datos!K17-Datos!U17)/Datos!U17,(Datos!K17+Datos!AE17-(Datos!U17+Datos!AM17))/(Datos!U17+Datos!AM17))
     ),IF(D_I="SI",(Datos!K17-Datos!U17)/Datos!U17,(Datos!K17+Datos!AE17-(Datos!U17+Datos!AM17))/(Datos!U17+Datos!AM17))," - ")</f>
        <v>-0.19701699618453</v>
      </c>
      <c r="E17" s="515">
        <f>IF(ISNUMBER(
   IF(D_I="SI",(Datos!L17-Datos!V17)/Datos!V17,(Datos!L17+Datos!AF17-(Datos!V17+Datos!AN17))/(Datos!V17+Datos!AN17))
     ),IF(D_I="SI",(Datos!L17-Datos!V17)/Datos!V17,(Datos!L17+Datos!AF17-(Datos!V17+Datos!AN17))/(Datos!V17+Datos!AN17))," - ")</f>
        <v>0.61325115562403698</v>
      </c>
      <c r="F17" s="515">
        <f>IF(ISNUMBER((Datos!M17-Datos!W17)/Datos!W17),(Datos!M17-Datos!W17)/Datos!W17," - ")</f>
        <v>-7.9754601226993863E-2</v>
      </c>
      <c r="G17" s="516">
        <f>IF(ISNUMBER((Datos!N17-Datos!X17)/Datos!X17),(Datos!N17-Datos!X17)/Datos!X17," - ")</f>
        <v>-0.18222666000998503</v>
      </c>
      <c r="H17" s="514">
        <f>IF(ISNUMBER(((NºAsuntos!G17/NºAsuntos!E17)-Datos!BD17)/Datos!BD17),((NºAsuntos!G17/NºAsuntos!E17)-Datos!BD17)/Datos!BD17," - ")</f>
        <v>-0.20566083698284054</v>
      </c>
      <c r="I17" s="515">
        <f>IF(ISNUMBER(((NºAsuntos!I17/NºAsuntos!G17)-Datos!BE17)/Datos!BE17),((NºAsuntos!I17/NºAsuntos!G17)-Datos!BE17)/Datos!BE17," - ")</f>
        <v>1.0090726054704529</v>
      </c>
      <c r="J17" s="521">
        <f>IF(ISNUMBER((('Resol  Asuntos'!D17/NºAsuntos!G17)-Datos!BF17)/Datos!BF17),(('Resol  Asuntos'!D17/NºAsuntos!G17)-Datos!BF17)/Datos!BF17," - ")</f>
        <v>0.14603347069657752</v>
      </c>
      <c r="K17" s="522">
        <f>IF(ISNUMBER((((NºAsuntos!C17+NºAsuntos!E17)/NºAsuntos!G17)-Datos!BG17)/Datos!BG17),(((NºAsuntos!C17+NºAsuntos!E17)/NºAsuntos!G17)-Datos!BG17)/Datos!BG17," - ")</f>
        <v>0.18206313171266561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-0.38271604938271603</v>
      </c>
      <c r="C18" s="515">
        <f>IF(ISNUMBER(
   IF(D_I="SI",(Datos!J18-Datos!T18)/Datos!T18,(Datos!J18+Datos!AD18-(Datos!T18+Datos!AL18))/(Datos!T18+Datos!AL18))
     ),IF(D_I="SI",(Datos!J18-Datos!T18)/Datos!T18,(Datos!J18+Datos!AD18-(Datos!T18+Datos!AL18))/(Datos!T18+Datos!AL18))," - ")</f>
        <v>0.3559322033898305</v>
      </c>
      <c r="D18" s="515">
        <f>IF(ISNUMBER(
   IF(D_I="SI",(Datos!K18-Datos!U18)/Datos!U18,(Datos!K18+Datos!AE18-(Datos!U18+Datos!AM18))/(Datos!U18+Datos!AM18))
     ),IF(D_I="SI",(Datos!K18-Datos!U18)/Datos!U18,(Datos!K18+Datos!AE18-(Datos!U18+Datos!AM18))/(Datos!U18+Datos!AM18))," - ")</f>
        <v>0.32885906040268459</v>
      </c>
      <c r="E18" s="515">
        <f>IF(ISNUMBER(
   IF(D_I="SI",(Datos!L18-Datos!V18)/Datos!V18,(Datos!L18+Datos!AF18-(Datos!V18+Datos!AN18))/(Datos!V18+Datos!AN18))
     ),IF(D_I="SI",(Datos!L18-Datos!V18)/Datos!V18,(Datos!L18+Datos!AF18-(Datos!V18+Datos!AN18))/(Datos!V18+Datos!AN18))," - ")</f>
        <v>-0.76</v>
      </c>
      <c r="F18" s="515">
        <f>IF(ISNUMBER((Datos!M18-Datos!W18)/Datos!W18),(Datos!M18-Datos!W18)/Datos!W18," - ")</f>
        <v>-0.10526315789473684</v>
      </c>
      <c r="G18" s="516">
        <f>IF(ISNUMBER((Datos!N18-Datos!X18)/Datos!X18),(Datos!N18-Datos!X18)/Datos!X18," - ")</f>
        <v>9.4488188976377951E-2</v>
      </c>
      <c r="H18" s="514">
        <f>IF(ISNUMBER(((NºAsuntos!G18/NºAsuntos!E18)-Datos!BD18)/Datos!BD18),((NºAsuntos!G18/NºAsuntos!E18)-Datos!BD18)/Datos!BD18," - ")</f>
        <v>-1.9966442953020073E-2</v>
      </c>
      <c r="I18" s="515">
        <f>IF(ISNUMBER(((NºAsuntos!I18/NºAsuntos!G18)-Datos!BE18)/Datos!BE18),((NºAsuntos!I18/NºAsuntos!G18)-Datos!BE18)/Datos!BE18," - ")</f>
        <v>-0.81939393939393945</v>
      </c>
      <c r="J18" s="521">
        <f>IF(ISNUMBER((('Resol  Asuntos'!D18/NºAsuntos!G18)-Datos!BF18)/Datos!BF18),(('Resol  Asuntos'!D18/NºAsuntos!G18)-Datos!BF18)/Datos!BF18," - ")</f>
        <v>-0.32668793195108992</v>
      </c>
      <c r="K18" s="522">
        <f>IF(ISNUMBER((((NºAsuntos!C18+NºAsuntos!E18)/NºAsuntos!G18)-Datos!BG18)/Datos!BG18),(((NºAsuntos!C18+NºAsuntos!E18)/NºAsuntos!G18)-Datos!BG18)/Datos!BG18," - ")</f>
        <v>-0.20587787421958278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-0.25479744136460553</v>
      </c>
      <c r="C23" s="1152">
        <f>IF(ISNUMBER(
   IF(Criterios!B14="SI",(Datos!J23-Datos!T23)/Datos!T23,(Datos!J23+Datos!AD23-(Datos!T23+Datos!AL23))/(Datos!T23+Datos!AL23))
     ),IF(Criterios!B14="SI",(Datos!J23-Datos!T23)/Datos!T23,(Datos!J23+Datos!AD23-(Datos!T23+Datos!AL23))/(Datos!T23+Datos!AL23))," - ")</f>
        <v>2.5512037369744878E-2</v>
      </c>
      <c r="D23" s="1152">
        <f>IF(ISNUMBER(
   IF(Criterios!B14="SI",(Datos!K23-Datos!U23)/Datos!U23,(Datos!K23+Datos!AE23-(Datos!U23+Datos!AM23))/(Datos!U23+Datos!AM23))
     ),IF(Criterios!B14="SI",(Datos!K23-Datos!U23)/Datos!U23,(Datos!K23+Datos!AE23-(Datos!U23+Datos!AM23))/(Datos!U23+Datos!AM23))," - ")</f>
        <v>-0.17117414248021109</v>
      </c>
      <c r="E23" s="1152">
        <f>IF(ISNUMBER(
   IF(Criterios!B14="SI",(Datos!L23-Datos!V23)/Datos!V23,(Datos!L23+Datos!AF23-(Datos!V23+Datos!AN23))/(Datos!V23+Datos!AN23))
     ),IF(Criterios!B14="SI",(Datos!L23-Datos!V23)/Datos!V23,(Datos!L23+Datos!AF23-(Datos!V23+Datos!AN23))/(Datos!V23+Datos!AN23))," - ")</f>
        <v>0.51502145922746778</v>
      </c>
      <c r="F23" s="1153">
        <f>IF(ISNUMBER((Datos!M23-Datos!W23)/Datos!W23),(Datos!M23-Datos!W23)/Datos!W23," - ")</f>
        <v>-8.1159420289855067E-2</v>
      </c>
      <c r="G23" s="1154">
        <f>IF(ISNUMBER((Datos!N23-Datos!X23)/Datos!X23),(Datos!N23-Datos!X23)/Datos!X23," - ")</f>
        <v>-0.16572769953051644</v>
      </c>
      <c r="H23" s="1154">
        <f>IF(ISNUMBER(((NºAsuntos!G23/NºAsuntos!E23)-Datos!BD23)/Datos!BD23),((NºAsuntos!G23/NºAsuntos!E23)-Datos!BD23)/Datos!BD23," - ")</f>
        <v>-0.19179314594338742</v>
      </c>
      <c r="I23" s="1154">
        <f>IF(ISNUMBER(((NºAsuntos!I23/NºAsuntos!G23)-Datos!BE23)/Datos!BE23),((NºAsuntos!I23/NºAsuntos!G23)-Datos!BE23)/Datos!BE23," - ")</f>
        <v>0.82791287878140973</v>
      </c>
      <c r="J23" s="1154">
        <f>IF(ISNUMBER((('Resol  Asuntos'!D23/NºAsuntos!G23)-Datos!BF23)/Datos!BF23),(('Resol  Asuntos'!D23/NºAsuntos!G23)-Datos!BF23)/Datos!BF23," - ")</f>
        <v>0.10860510850822103</v>
      </c>
      <c r="K23" s="1154">
        <f>IF(ISNUMBER((((NºAsuntos!C23+NºAsuntos!E23)/NºAsuntos!G23)-Datos!BG23)/Datos!BG23),(((NºAsuntos!C23+NºAsuntos!E23)/NºAsuntos!G23)-Datos!BG23)/Datos!BG23," - ")</f>
        <v>0.15205243403476876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-7.9734219269102985E-2</v>
      </c>
      <c r="C31" s="1092">
        <f>IF(ISNUMBER(
   IF(J_V="SI",(Datos!J31-Datos!T31)/Datos!T31,(Datos!J31+Datos!Z31-(Datos!T31+Datos!AH31))/(Datos!T31+Datos!AH31))
     ),IF(J_V="SI",(Datos!J31-Datos!T31)/Datos!T31,(Datos!J31+Datos!Z31-(Datos!T31+Datos!AH31))/(Datos!T31+Datos!AH31))," - ")</f>
        <v>4.6041813483673949E-2</v>
      </c>
      <c r="D31" s="1092">
        <f>IF(ISNUMBER(
   IF(J_V="SI",(Datos!K31-Datos!U31)/Datos!U31,(Datos!K31+Datos!AA31-(Datos!U31+Datos!AI31))/(Datos!U31+Datos!AI31))
     ),IF(J_V="SI",(Datos!K31-Datos!U31)/Datos!U31,(Datos!K31+Datos!AA31-(Datos!U31+Datos!AI31))/(Datos!U31+Datos!AI31))," - ")</f>
        <v>-0.11161217587373168</v>
      </c>
      <c r="E31" s="1092">
        <f>IF(ISNUMBER(
   IF(J_V="SI",(Datos!L31-Datos!V31)/Datos!V31,(Datos!L31+Datos!AB31-(Datos!V31+Datos!AJ31))/(Datos!V31+Datos!AJ31))
     ),IF(J_V="SI",(Datos!L31-Datos!V31)/Datos!V31,(Datos!L31+Datos!AB31-(Datos!V31+Datos!AJ31))/(Datos!V31+Datos!AJ31))," - ")</f>
        <v>0.27436823104693142</v>
      </c>
      <c r="F31" s="1093">
        <f>IF(ISNUMBER((Datos!M31-Datos!W31)/Datos!W31),(Datos!M31-Datos!W31)/Datos!W31," - ")</f>
        <v>-8.4151472650771386E-2</v>
      </c>
      <c r="G31" s="1094">
        <f>IF(ISNUMBER((Datos!N31-Datos!X31)/Datos!X31),(Datos!N31-Datos!X31)/Datos!X31," - ")</f>
        <v>-0.15064731267163595</v>
      </c>
      <c r="H31" s="1095">
        <f>IF(ISNUMBER((Tasas!B31-Datos!BD31)/Datos!BD31),(Tasas!B31-Datos!BD31)/Datos!BD31," - ")</f>
        <v>-0.15071480635402557</v>
      </c>
      <c r="I31" s="1096">
        <f>IF(ISNUMBER((Tasas!C31-Datos!BE31)/Datos!BE31),(Tasas!C31-Datos!BE31)/Datos!BE31," - ")</f>
        <v>0.43447286921145706</v>
      </c>
      <c r="J31" s="1097">
        <f>IF(ISNUMBER((Tasas!D31-Datos!BF31)/Datos!BF31),(Tasas!D31-Datos!BF31)/Datos!BF31," - ")</f>
        <v>-5.4003423292763468E-2</v>
      </c>
      <c r="K31" s="1097">
        <f>IF(ISNUMBER((Tasas!E31-Datos!BG31)/Datos!BG31),(Tasas!E31-Datos!BG31)/Datos!BG31," - ")</f>
        <v>0.13058702664416286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0uk2/NgjGYYMIVqfBNow2MjUeckZuxF6I6clU4T21RV908GCOiDjpKXggVwYtiwgcP+shfA1q52iUjP40wWWA==" saltValue="gxg0FB7vUsJVgPGFX84P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TORROX</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0.75</v>
      </c>
      <c r="D10" s="499">
        <f>IF(ISNUMBER('Resol  Asuntos'!D10/NºAsuntos!G10),'Resol  Asuntos'!D10/NºAsuntos!G10," - ")</f>
        <v>0</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0.89189189189189189</v>
      </c>
      <c r="C12" s="498">
        <f>IF(ISNUMBER(NºAsuntos!I12/NºAsuntos!G12),NºAsuntos!I12/NºAsuntos!G12," - ")</f>
        <v>0.99083861874559553</v>
      </c>
      <c r="D12" s="499">
        <f>IF(ISNUMBER('Resol  Asuntos'!D12/NºAsuntos!G12),'Resol  Asuntos'!D12/NºAsuntos!G12," - ")</f>
        <v>0.23678646934460887</v>
      </c>
      <c r="E12" s="500">
        <f>IF(ISNUMBER((NºAsuntos!C12+NºAsuntos!E12)/NºAsuntos!G12),(NºAsuntos!C12+NºAsuntos!E12)/NºAsuntos!G12," - ")</f>
        <v>1.9908386187455955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0.89243277048155101</v>
      </c>
      <c r="C14" s="1156">
        <f>IF(ISNUMBER(NºAsuntos!I14/NºAsuntos!G14),NºAsuntos!I14/NºAsuntos!G14," - ")</f>
        <v>0.9894884372810091</v>
      </c>
      <c r="D14" s="1157">
        <f>IF(ISNUMBER('Resol  Asuntos'!D14/NºAsuntos!G14),'Resol  Asuntos'!D14/NºAsuntos!G14," - ")</f>
        <v>0.23545900490539592</v>
      </c>
      <c r="E14" s="1158">
        <f>IF(ISNUMBER((NºAsuntos!C14+NºAsuntos!E14)/NºAsuntos!G14),(NºAsuntos!C14+NºAsuntos!E14)/NºAsuntos!G14," - ")</f>
        <v>1.9894884372810091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0.85931700074239048</v>
      </c>
      <c r="C17" s="498">
        <f>IF(ISNUMBER(NºAsuntos!I17/NºAsuntos!G17),NºAsuntos!I17/NºAsuntos!G17," - ")</f>
        <v>0.45226781857451404</v>
      </c>
      <c r="D17" s="499">
        <f>IF(ISNUMBER('Resol  Asuntos'!D17/NºAsuntos!G17),'Resol  Asuntos'!D17/NºAsuntos!G17," - ")</f>
        <v>0.12958963282937366</v>
      </c>
      <c r="E17" s="500">
        <f>IF(ISNUMBER((NºAsuntos!C17+NºAsuntos!E17)/NºAsuntos!G17),(NºAsuntos!C17+NºAsuntos!E17)/NºAsuntos!G17," - ")</f>
        <v>1.444060475161987</v>
      </c>
      <c r="G17" s="523"/>
    </row>
    <row r="18" spans="1:7">
      <c r="A18" s="450" t="str">
        <f>Datos!A18</f>
        <v>Jdos. Violencia contra la mujer</v>
      </c>
      <c r="B18" s="497">
        <f>IF(ISNUMBER(NºAsuntos!G18/NºAsuntos!E18),NºAsuntos!G18/NºAsuntos!E18," - ")</f>
        <v>1.2375</v>
      </c>
      <c r="C18" s="498">
        <f>IF(ISNUMBER(NºAsuntos!I18/NºAsuntos!G18),NºAsuntos!I18/NºAsuntos!G18," - ")</f>
        <v>6.0606060606060608E-2</v>
      </c>
      <c r="D18" s="499">
        <f>IF(ISNUMBER('Resol  Asuntos'!D18/NºAsuntos!G18),'Resol  Asuntos'!D18/NºAsuntos!G18," - ")</f>
        <v>8.5858585858585856E-2</v>
      </c>
      <c r="E18" s="500">
        <f>IF(ISNUMBER((NºAsuntos!C18+NºAsuntos!E18)/NºAsuntos!G18),(NºAsuntos!C18+NºAsuntos!E18)/NºAsuntos!G18," - ")</f>
        <v>1.0606060606060606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0.88051857042747017</v>
      </c>
      <c r="C23" s="1156">
        <f>IF(ISNUMBER(NºAsuntos!I23/NºAsuntos!G23),NºAsuntos!I23/NºAsuntos!G23," - ")</f>
        <v>0.42140867489056905</v>
      </c>
      <c r="D23" s="1159">
        <f>IF(ISNUMBER('Resol  Asuntos'!D23/NºAsuntos!G23),'Resol  Asuntos'!D23/NºAsuntos!G23," - ")</f>
        <v>0.12614405093513728</v>
      </c>
      <c r="E23" s="1158">
        <f>IF(ISNUMBER((NºAsuntos!C23+NºAsuntos!E23)/NºAsuntos!G23),(NºAsuntos!C23+NºAsuntos!E23)/NºAsuntos!G23," - ")</f>
        <v>1.4138479904496617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0.8847967662250168</v>
      </c>
      <c r="C31" s="1099">
        <f>IF(ISNUMBER(NºAsuntos!I31/NºAsuntos!G31),NºAsuntos!I31/NºAsuntos!G31," - ")</f>
        <v>0.62715736040609138</v>
      </c>
      <c r="D31" s="1100">
        <f>IF(ISNUMBER('Resol  Asuntos'!D31/NºAsuntos!G31),'Resol  Asuntos'!D31/NºAsuntos!G31," - ")</f>
        <v>0.16573604060913705</v>
      </c>
      <c r="E31" s="1101">
        <f>IF(ISNUMBER((NºAsuntos!C31+NºAsuntos!E31)/NºAsuntos!G31),(NºAsuntos!C31+NºAsuntos!E31)/NºAsuntos!G31," - ")</f>
        <v>1.6223350253807107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VnWliLkuMb/VTR7GjtXrTHWAeFXBQgMruMZAtrPOLokbXmry2pzyD/fUeYl4CcnG7q9H4+OOKBKY42gsZyD1Q==" saltValue="vqW4woTV/SumB7NDT4ve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TORROX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3</v>
      </c>
      <c r="Y10" s="374">
        <f t="shared" ref="Y10:Y13" si="0">SUM(W10:X10)</f>
        <v>11</v>
      </c>
      <c r="Z10" s="375" t="str">
        <f>IF(ISNUMBER(Datos!CC10),Datos!CC10," - ")</f>
        <v xml:space="preserve"> - </v>
      </c>
      <c r="AA10" s="372">
        <f>IF(ISNUMBER(Datos!L10),Datos!L10,"-")</f>
        <v>6</v>
      </c>
      <c r="AB10" s="374">
        <f>IF(ISNUMBER(Datos!R10),Datos!R10," - ")</f>
        <v>12</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8.25</v>
      </c>
      <c r="AN10" s="267">
        <f>IF(ISNUMBER('Resol  Asuntos'!D10/NºAsuntos!G10),'Resol  Asuntos'!D10/NºAsuntos!G10," - ")</f>
        <v>0</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166</v>
      </c>
      <c r="Y12" s="374">
        <f t="shared" si="0"/>
        <v>166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336</v>
      </c>
      <c r="AJ12" s="243" t="str">
        <f>IF(ISNUMBER(Datos!BW12),Datos!BW12," - ")</f>
        <v xml:space="preserve"> - </v>
      </c>
      <c r="AK12" s="242" t="str">
        <f>IF(ISNUMBER(Datos!BX12),Datos!BX12," - ")</f>
        <v xml:space="preserve"> - </v>
      </c>
      <c r="AL12" s="266">
        <f>IF(ISNUMBER(NºAsuntos!G12/NºAsuntos!E12),NºAsuntos!G12/NºAsuntos!E12," - ")</f>
        <v>0.89189189189189189</v>
      </c>
      <c r="AM12" s="284">
        <f>IF(ISNUMBER(((NºAsuntos!I12/NºAsuntos!G12)*11)/factor_trimestre),((NºAsuntos!I12/NºAsuntos!G12)*11)/factor_trimestre," - ")</f>
        <v>10.89922480620155</v>
      </c>
      <c r="AN12" s="267">
        <f>IF(ISNUMBER('Resol  Asuntos'!D12/NºAsuntos!G12),'Resol  Asuntos'!D12/NºAsuntos!G12," - ")</f>
        <v>0.23678646934460887</v>
      </c>
      <c r="AO12" s="268">
        <f>IF(ISNUMBER((NºAsuntos!C12+NºAsuntos!E12)/NºAsuntos!G12),(NºAsuntos!C12+NºAsuntos!E12)/NºAsuntos!G12," - ")</f>
        <v>1.9908386187455955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169</v>
      </c>
      <c r="Y14" s="1165">
        <f t="shared" si="6"/>
        <v>177</v>
      </c>
      <c r="Z14" s="1165">
        <f t="shared" si="6"/>
        <v>0</v>
      </c>
      <c r="AA14" s="1165">
        <f t="shared" si="6"/>
        <v>6</v>
      </c>
      <c r="AB14" s="1165">
        <f t="shared" si="6"/>
        <v>1275</v>
      </c>
      <c r="AC14" s="1165">
        <f t="shared" si="6"/>
        <v>18</v>
      </c>
      <c r="AD14" s="1165">
        <f t="shared" si="6"/>
        <v>0</v>
      </c>
      <c r="AE14" s="1169">
        <f t="shared" si="6"/>
        <v>0</v>
      </c>
      <c r="AF14" s="1162">
        <f t="shared" si="6"/>
        <v>0</v>
      </c>
      <c r="AG14" s="1170">
        <f t="shared" si="6"/>
        <v>0</v>
      </c>
      <c r="AH14" s="1167">
        <f t="shared" si="6"/>
        <v>0</v>
      </c>
      <c r="AI14" s="1162">
        <f t="shared" si="6"/>
        <v>336</v>
      </c>
      <c r="AJ14" s="1164">
        <f t="shared" si="6"/>
        <v>0</v>
      </c>
      <c r="AK14" s="1167">
        <f>SUBTOTAL(9,AK9:AK13)</f>
        <v>0</v>
      </c>
      <c r="AL14" s="1171">
        <f>IF(ISNUMBER(NºAsuntos!G14/NºAsuntos!E14),NºAsuntos!G14/NºAsuntos!E14," - ")</f>
        <v>0.89243277048155101</v>
      </c>
      <c r="AM14" s="1171">
        <f>IF(ISNUMBER(((NºAsuntos!I14/NºAsuntos!G14)*11)/factor_trimestre),((NºAsuntos!I14/NºAsuntos!G14)*11)/factor_trimestre," - ")</f>
        <v>10.884372810091101</v>
      </c>
      <c r="AN14" s="1172">
        <f>IF(ISNUMBER('Resol  Asuntos'!D14/NºAsuntos!G14),'Resol  Asuntos'!D14/NºAsuntos!G14," - ")</f>
        <v>0.23545900490539592</v>
      </c>
      <c r="AO14" s="1173">
        <f>IF(ISNUMBER((NºAsuntos!C14+NºAsuntos!E14)/NºAsuntos!G14),(NºAsuntos!C14+NºAsuntos!E14)/NºAsuntos!G14," - ")</f>
        <v>1.9894884372810091</v>
      </c>
      <c r="AP14" s="1174" t="str">
        <f t="shared" si="2"/>
        <v xml:space="preserve"> - </v>
      </c>
      <c r="AQ14" s="1174">
        <f>IF(ISNUMBER((H14-W14+K14)/(F14)),(H14-W14+K14)/(F14)," - ")</f>
        <v>-1.3333333333333333</v>
      </c>
      <c r="AR14" s="1175">
        <f>IF(ISNUMBER((Datos!P14-Datos!Q14)/(Datos!R14-Datos!P14+Datos!Q14)),(Datos!P14-Datos!Q14)/(Datos!R14-Datos!P14+Datos!Q14)," - ")</f>
        <v>0.10773240660295395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668</v>
      </c>
      <c r="G17" s="373">
        <f>IF(ISNUMBER(IF(D_I="SI",Datos!I17,Datos!I17+Datos!AC17)),IF(D_I="SI",Datos!I17,Datos!I17+Datos!AC17)," - ")</f>
        <v>649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2315</v>
      </c>
      <c r="X17" s="240">
        <f>IF(ISNUMBER(Datos!Q17),Datos!Q17," - ")</f>
        <v>78</v>
      </c>
      <c r="Y17" s="374">
        <f t="shared" ref="Y17:Y22" si="9">SUM(W17:X17)</f>
        <v>2393</v>
      </c>
      <c r="Z17" s="375" t="str">
        <f>IF(ISNUMBER(Datos!CC17),Datos!CC17," - ")</f>
        <v xml:space="preserve"> - </v>
      </c>
      <c r="AA17" s="372">
        <f>IF(ISNUMBER(IF(D_I="SI",Datos!L17,Datos!L17+Datos!AF17)),IF(D_I="SI",Datos!L17,Datos!L17+Datos!AF17)," - ")</f>
        <v>1047</v>
      </c>
      <c r="AB17" s="374">
        <f>IF(ISNUMBER(Datos!R17),Datos!R17," - ")</f>
        <v>53</v>
      </c>
      <c r="AC17" s="374">
        <f t="shared" si="8"/>
        <v>1100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300</v>
      </c>
      <c r="AJ17" s="245" t="str">
        <f>IF(ISNUMBER(Datos!BW17),Datos!BW17," - ")</f>
        <v xml:space="preserve"> - </v>
      </c>
      <c r="AK17" s="246" t="str">
        <f>IF(ISNUMBER(Datos!BX17),Datos!BX17," - ")</f>
        <v xml:space="preserve"> - </v>
      </c>
      <c r="AL17" s="266">
        <f>IF(ISNUMBER(NºAsuntos!G17/NºAsuntos!E17),NºAsuntos!G17/NºAsuntos!E17," - ")</f>
        <v>0.85931700074239048</v>
      </c>
      <c r="AM17" s="284">
        <f>IF(ISNUMBER(((NºAsuntos!I17/NºAsuntos!G17)*11)/factor_trimestre),((NºAsuntos!I17/NºAsuntos!G17)*11)/factor_trimestre," - ")</f>
        <v>4.9749460043196541</v>
      </c>
      <c r="AN17" s="267">
        <f>IF(ISNUMBER('Resol  Asuntos'!D17/NºAsuntos!G17),'Resol  Asuntos'!D17/NºAsuntos!G17," - ")</f>
        <v>0.12958963282937366</v>
      </c>
      <c r="AO17" s="268">
        <f>IF(ISNUMBER((NºAsuntos!C17+NºAsuntos!E17)/NºAsuntos!G17),(NºAsuntos!C17+NºAsuntos!E17)/NºAsuntos!G17," - ")</f>
        <v>1.444060475161987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198</v>
      </c>
      <c r="X18" s="240">
        <f>IF(ISNUMBER(Datos!Q18),Datos!Q18," - ")</f>
        <v>0</v>
      </c>
      <c r="Y18" s="374">
        <f t="shared" si="9"/>
        <v>198</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1.2375</v>
      </c>
      <c r="AM18" s="284">
        <f>IF(ISNUMBER(((NºAsuntos!I18/NºAsuntos!G18)*11)/factor_trimestre),((NºAsuntos!I18/NºAsuntos!G18)*11)/factor_trimestre," - ")</f>
        <v>0.66666666666666674</v>
      </c>
      <c r="AN18" s="267">
        <f>IF(ISNUMBER('Resol  Asuntos'!D18/NºAsuntos!G18),'Resol  Asuntos'!D18/NºAsuntos!G18," - ")</f>
        <v>8.5858585858585856E-2</v>
      </c>
      <c r="AO18" s="268">
        <f>IF(ISNUMBER((NºAsuntos!C18+NºAsuntos!E18)/NºAsuntos!G18),(NºAsuntos!C18+NºAsuntos!E18)/NºAsuntos!G18," - ")</f>
        <v>1.0606060606060606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668</v>
      </c>
      <c r="G23" s="1163">
        <f>SUBTOTAL(9,G16:G22)</f>
        <v>699</v>
      </c>
      <c r="H23" s="1162">
        <f t="shared" ref="H23:O23" si="13">SUBTOTAL(9,H15:H22)</f>
        <v>0</v>
      </c>
      <c r="I23" s="1164">
        <f t="shared" si="13"/>
        <v>0</v>
      </c>
      <c r="J23" s="1164">
        <f t="shared" si="13"/>
        <v>0</v>
      </c>
      <c r="K23" s="1164">
        <f t="shared" si="13"/>
        <v>0</v>
      </c>
      <c r="L23" s="1164">
        <f t="shared" si="13"/>
        <v>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2513</v>
      </c>
      <c r="X23" s="1164">
        <f t="shared" si="14"/>
        <v>78</v>
      </c>
      <c r="Y23" s="1165">
        <f t="shared" si="14"/>
        <v>2591</v>
      </c>
      <c r="Z23" s="1165">
        <f t="shared" si="14"/>
        <v>0</v>
      </c>
      <c r="AA23" s="1165">
        <f t="shared" si="14"/>
        <v>1059</v>
      </c>
      <c r="AB23" s="1165">
        <f t="shared" si="14"/>
        <v>53</v>
      </c>
      <c r="AC23" s="1165">
        <f t="shared" si="14"/>
        <v>1112</v>
      </c>
      <c r="AD23" s="1165">
        <f t="shared" si="14"/>
        <v>0</v>
      </c>
      <c r="AE23" s="1169">
        <f t="shared" si="14"/>
        <v>0</v>
      </c>
      <c r="AF23" s="1162">
        <f t="shared" si="14"/>
        <v>0</v>
      </c>
      <c r="AG23" s="1170">
        <f t="shared" si="14"/>
        <v>0</v>
      </c>
      <c r="AH23" s="1167">
        <f t="shared" si="14"/>
        <v>0</v>
      </c>
      <c r="AI23" s="1162">
        <f t="shared" si="14"/>
        <v>317</v>
      </c>
      <c r="AJ23" s="1164">
        <f t="shared" si="14"/>
        <v>0</v>
      </c>
      <c r="AK23" s="1167">
        <f t="shared" si="14"/>
        <v>0</v>
      </c>
      <c r="AL23" s="1171">
        <f>IF(ISNUMBER(NºAsuntos!G23/NºAsuntos!E23),NºAsuntos!G23/NºAsuntos!E23," - ")</f>
        <v>0.88051857042747017</v>
      </c>
      <c r="AM23" s="1171">
        <f>IF(ISNUMBER(((NºAsuntos!I23/NºAsuntos!G23)*11)/factor_trimestre),((NºAsuntos!I23/NºAsuntos!G23)*11)/factor_trimestre," - ")</f>
        <v>4.6354954237962591</v>
      </c>
      <c r="AN23" s="1172">
        <f>IF(ISNUMBER('Resol  Asuntos'!D23/NºAsuntos!G23),'Resol  Asuntos'!D23/NºAsuntos!G23," - ")</f>
        <v>0.12614405093513728</v>
      </c>
      <c r="AO23" s="1173">
        <f>IF(ISNUMBER((NºAsuntos!C23+NºAsuntos!E23)/NºAsuntos!G23),(NºAsuntos!C23+NºAsuntos!E23)/NºAsuntos!G23," - ")</f>
        <v>1.4138479904496617</v>
      </c>
      <c r="AP23" s="1174" t="str">
        <f t="shared" si="2"/>
        <v xml:space="preserve"> - </v>
      </c>
      <c r="AQ23" s="1174">
        <f>IF(ISNUMBER((H23-W23+K23)/(F23)),(H23-W23+K23)/(F23)," - ")</f>
        <v>-3.7619760479041915</v>
      </c>
      <c r="AR23" s="1175">
        <f>IF(ISNUMBER((Datos!P23-Datos!Q23)/(Datos!R23-Datos!P23+Datos!Q23)),(Datos!P23-Datos!Q23)/(Datos!R23-Datos!P23+Datos!Q23)," - ")</f>
        <v>-0.35365853658536583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674</v>
      </c>
      <c r="G31" s="1118">
        <f t="shared" si="20"/>
        <v>705</v>
      </c>
      <c r="H31" s="1117">
        <f t="shared" si="20"/>
        <v>0</v>
      </c>
      <c r="I31" s="1119">
        <f t="shared" si="20"/>
        <v>0</v>
      </c>
      <c r="J31" s="1119">
        <f t="shared" si="20"/>
        <v>0</v>
      </c>
      <c r="K31" s="1180">
        <f t="shared" si="20"/>
        <v>0</v>
      </c>
      <c r="L31" s="1119">
        <f t="shared" si="20"/>
        <v>342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2521</v>
      </c>
      <c r="X31" s="1118">
        <f t="shared" si="21"/>
        <v>247</v>
      </c>
      <c r="Y31" s="1125">
        <f t="shared" si="21"/>
        <v>2768</v>
      </c>
      <c r="Z31" s="1125">
        <f t="shared" si="21"/>
        <v>0</v>
      </c>
      <c r="AA31" s="1125">
        <f t="shared" si="21"/>
        <v>1065</v>
      </c>
      <c r="AB31" s="1125">
        <f t="shared" si="21"/>
        <v>1328</v>
      </c>
      <c r="AC31" s="1125">
        <f t="shared" si="21"/>
        <v>1130</v>
      </c>
      <c r="AD31" s="1125">
        <f t="shared" si="21"/>
        <v>0</v>
      </c>
      <c r="AE31" s="1127">
        <f t="shared" si="21"/>
        <v>0</v>
      </c>
      <c r="AF31" s="1128">
        <f t="shared" si="21"/>
        <v>0</v>
      </c>
      <c r="AG31" s="1129">
        <f t="shared" si="21"/>
        <v>0</v>
      </c>
      <c r="AH31" s="1127">
        <f t="shared" si="21"/>
        <v>0</v>
      </c>
      <c r="AI31" s="1117">
        <f t="shared" si="21"/>
        <v>653</v>
      </c>
      <c r="AJ31" s="1117">
        <f t="shared" si="21"/>
        <v>0</v>
      </c>
      <c r="AK31" s="1127">
        <f t="shared" si="21"/>
        <v>0</v>
      </c>
      <c r="AL31" s="1183">
        <f>IF(ISNUMBER(NºAsuntos!G31/NºAsuntos!E31),NºAsuntos!G31/NºAsuntos!E31," - ")</f>
        <v>0.8847967662250168</v>
      </c>
      <c r="AM31" s="1184">
        <f>IF(ISNUMBER(((NºAsuntos!I31/NºAsuntos!G31)*11)/factor_trimestre),((NºAsuntos!I31/NºAsuntos!G31)*11)/factor_trimestre," - ")</f>
        <v>6.8987309644670054</v>
      </c>
      <c r="AN31" s="1184">
        <f>IF(ISNUMBER('Resol  Asuntos'!D31/NºAsuntos!G31),'Resol  Asuntos'!D31/NºAsuntos!G31," - ")</f>
        <v>0.16573604060913705</v>
      </c>
      <c r="AO31" s="1185">
        <f>IF(ISNUMBER((NºAsuntos!C31+NºAsuntos!E31)/NºAsuntos!G31),(NºAsuntos!C31+NºAsuntos!E31)/NºAsuntos!G31," - ")</f>
        <v>1.6223350253807107</v>
      </c>
      <c r="AP31" s="1186" t="str">
        <f t="shared" si="2"/>
        <v xml:space="preserve"> - </v>
      </c>
      <c r="AQ31" s="1187">
        <f>IF(OR(ISNUMBER(FIND("01",Criterios!A8,1)),ISNUMBER(FIND("02",Criterios!A8,1)),ISNUMBER(FIND("03",Criterios!A8,1)),ISNUMBER(FIND("04",Criterios!A8,1))),(I31-W31+K31)/(F31-K31),(H31-W31+K31)/(F31-K31))</f>
        <v>-3.7403560830860534</v>
      </c>
      <c r="AR31" s="1188">
        <f>IF(ISNUMBER((Datos!P31-Datos!Q31)/(Datos!R31-Datos!P31+Datos!Q31)),(Datos!P31-Datos!Q31)/(Datos!R31-Datos!P31+Datos!Q31)," - ")</f>
        <v>7.7047850770478502E-2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343.41500646690827</v>
      </c>
      <c r="G33" s="277">
        <f>IF(ISNUMBER(STDEV(G8:G30)),STDEV(G8:G30),"-")</f>
        <v>323.61492401868469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1160.6065532421276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170.44710113614221</v>
      </c>
      <c r="AJ33" s="276">
        <f t="shared" si="25"/>
        <v>0</v>
      </c>
      <c r="AK33" s="278">
        <f t="shared" si="25"/>
        <v>0</v>
      </c>
      <c r="AL33" s="273">
        <f t="shared" si="25"/>
        <v>0.1444051242064229</v>
      </c>
      <c r="AM33" s="274">
        <f t="shared" si="25"/>
        <v>4.0294422369701284</v>
      </c>
      <c r="AN33" s="274">
        <f t="shared" si="25"/>
        <v>9.0771824687835651E-2</v>
      </c>
      <c r="AO33" s="275">
        <f t="shared" si="25"/>
        <v>0.36782441823252032</v>
      </c>
      <c r="AP33" s="317" t="str">
        <f t="shared" si="25"/>
        <v>-</v>
      </c>
      <c r="AQ33" s="318">
        <f t="shared" si="25"/>
        <v>1.7173097325523587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sG6s7c6wm2cKLJ/rx7QjRuvlPnunG8GrtSBNhhE3ArrFU3moj7Kyv/3ubzcpJ8jmRGXYbHSFZz561y4RTBdhg==" saltValue="zwyTvY4FRQm4agGkA7mg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TORROX</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-0.6</v>
      </c>
      <c r="F10" s="393">
        <f>IF(ISNUMBER((Datos!K10-Datos!U10)/Datos!U10),(Datos!K10-Datos!U10)/Datos!U10," - ")</f>
        <v>-0.55555555555555558</v>
      </c>
      <c r="G10" s="394">
        <f>IF(ISNUMBER((Datos!L10-Datos!V10)/Datos!V10),(Datos!L10-Datos!V10)/Datos!V10," - ")</f>
        <v>0</v>
      </c>
      <c r="H10" s="244">
        <f>IF(ISNUMBER((Datos!M10-Datos!W10)/Datos!W10),(Datos!M10-Datos!W10)/Datos!W10," - ")</f>
        <v>-1</v>
      </c>
      <c r="I10" s="395">
        <f>IF(ISNUMBER((Tasas!C10-Datos!BE10)/Datos!BE10),(Tasas!C10-Datos!BE10)/Datos!BE10," - ")</f>
        <v>1.2500000000000002</v>
      </c>
      <c r="J10" s="394">
        <f>IF(ISNUMBER((Tasas!D10-Datos!BF10)/Datos!BF10),(Tasas!D10-Datos!BF10)/Datos!BF10," - ")</f>
        <v>-1</v>
      </c>
      <c r="K10" s="396">
        <f>IF(ISNUMBER((Tasas!E10-Datos!BG10)/Datos!BG10),(Tasas!E10-Datos!BG10)/Datos!BG10," - ")</f>
        <v>0.31250000000000006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-5.3521126760563378E-2</v>
      </c>
      <c r="I12" s="395">
        <f>IF(ISNUMBER((Tasas!C12-Datos!BE12)/Datos!BE12),(Tasas!C12-Datos!BE12)/Datos!BE12," - ")</f>
        <v>0.11208386301673404</v>
      </c>
      <c r="J12" s="394">
        <f>IF(ISNUMBER((Tasas!D12-Datos!BF12)/Datos!BF12),(Tasas!D12-Datos!BF12)/Datos!BF12," - ")</f>
        <v>-0.21730486863416884</v>
      </c>
      <c r="K12" s="396">
        <f>IF(ISNUMBER((Tasas!E12-Datos!BG12)/Datos!BG12),(Tasas!E12-Datos!BG12)/Datos!BG12," - ")</f>
        <v>5.2810800673023982E-2</v>
      </c>
      <c r="M12" t="e">
        <f>IF(Monitorios="SI",Datos!CE12,0)</f>
        <v>#REF!</v>
      </c>
      <c r="N12" t="e">
        <f>IF(Monitorios="SI",Datos!CF12,0)</f>
        <v>#REF!</v>
      </c>
      <c r="O12" t="e">
        <f>IF(Monitorios="SI",Datos!CG12,0)</f>
        <v>#REF!</v>
      </c>
      <c r="P12" t="e">
        <f>IF(Monitorios="SI",Datos!CH12,0)</f>
        <v>#REF!</v>
      </c>
      <c r="Q12">
        <f>IF(J_V="SI",0,Datos!AG12)</f>
        <v>32</v>
      </c>
      <c r="R12">
        <f>IF(J_V="SI",0,Datos!AH12)</f>
        <v>121</v>
      </c>
      <c r="S12">
        <f>IF(J_V="SI",0,Datos!AI12)</f>
        <v>112</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-8.6956521739130432E-2</v>
      </c>
      <c r="I14" s="402">
        <f>IF(ISNUMBER((Tasas!C14-Datos!BE14)/Datos!BE14),(Tasas!C14-Datos!BE14)/Datos!BE14," - ")</f>
        <v>0.11955828831069018</v>
      </c>
      <c r="J14" s="400">
        <f>IF(ISNUMBER((Tasas!D14-Datos!BF14)/Datos!BF14),(Tasas!D14-Datos!BF14)/Datos!BF14," - ")</f>
        <v>-0.23530327805029985</v>
      </c>
      <c r="K14" s="403">
        <f>IF(ISNUMBER((Tasas!E14-Datos!BG14)/Datos!BG14),(Tasas!E14-Datos!BG14)/Datos!BG14," - ")</f>
        <v>5.60924243304032E-2</v>
      </c>
      <c r="M14" t="e">
        <f>IF(Monitorios="SI",Datos!CE14,0)</f>
        <v>#REF!</v>
      </c>
      <c r="N14" t="e">
        <f>IF(Monitorios="SI",Datos!CF14,0)</f>
        <v>#REF!</v>
      </c>
      <c r="O14" t="e">
        <f>IF(Monitorios="SI",Datos!CG14,0)</f>
        <v>#REF!</v>
      </c>
      <c r="P14" t="e">
        <f>IF(Monitorios="SI",Datos!CH14,0)</f>
        <v>#REF!</v>
      </c>
      <c r="Q14">
        <f>IF(J_V="SI",0,Datos!AG14)</f>
        <v>32</v>
      </c>
      <c r="R14">
        <f>IF(J_V="SI",0,Datos!AH14)</f>
        <v>121</v>
      </c>
      <c r="S14">
        <f>IF(J_V="SI",0,Datos!AI14)</f>
        <v>112</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-0.2427071178529755</v>
      </c>
      <c r="E17" s="393">
        <f>IF(ISNUMBER(
   IF(D_I="SI",(Datos!J17-Datos!T17)/Datos!T17,(Datos!J17+Datos!AD17-(Datos!T17+Datos!AL17))/(Datos!T17+Datos!AL17))
     ),IF(D_I="SI",(Datos!J17-Datos!T17)/Datos!T17,(Datos!J17+Datos!AD17-(Datos!T17+Datos!AL17))/(Datos!T17+Datos!AL17))," - ")</f>
        <v>1.0881801125703566E-2</v>
      </c>
      <c r="F17" s="393">
        <f>IF(ISNUMBER(
   IF(D_I="SI",(Datos!K17-Datos!U17)/Datos!U17,(Datos!K17+Datos!AE17-(Datos!U17+Datos!AM17))/(Datos!U17+Datos!AM17))
     ),IF(D_I="SI",(Datos!K17-Datos!U17)/Datos!U17,(Datos!K17+Datos!AE17-(Datos!U17+Datos!AM17))/(Datos!U17+Datos!AM17))," - ")</f>
        <v>-0.19701699618453</v>
      </c>
      <c r="G17" s="394">
        <f>IF(ISNUMBER(
   IF(D_I="SI",(Datos!L17-Datos!V17)/Datos!V17,(Datos!L17+Datos!AF17-(Datos!V17+Datos!AN17))/(Datos!V17+Datos!AN17))
     ),IF(D_I="SI",(Datos!L17-Datos!V17)/Datos!V17,(Datos!L17+Datos!AF17-(Datos!V17+Datos!AN17))/(Datos!V17+Datos!AN17))," - ")</f>
        <v>0.61325115562403698</v>
      </c>
      <c r="H17" s="244">
        <f>IF(ISNUMBER((Datos!M17-Datos!W17)/Datos!W17),(Datos!M17-Datos!W17)/Datos!W17," - ")</f>
        <v>-7.9754601226993863E-2</v>
      </c>
      <c r="I17" s="395">
        <f>IF(ISNUMBER((Tasas!C17-Datos!BE17)/Datos!BE17),(Tasas!C17-Datos!BE17)/Datos!BE17," - ")</f>
        <v>1.0090726054704529</v>
      </c>
      <c r="J17" s="394">
        <f>IF(ISNUMBER((Tasas!D17-Datos!BF17)/Datos!BF17),(Tasas!D17-Datos!BF17)/Datos!BF17," - ")</f>
        <v>0.14603347069657752</v>
      </c>
      <c r="K17" s="396">
        <f>IF(ISNUMBER((Tasas!E17-Datos!BG17)/Datos!BG17),(Tasas!E17-Datos!BG17)/Datos!BG17," - ")</f>
        <v>0.18206313171266561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-0.38271604938271603</v>
      </c>
      <c r="E18" s="393">
        <f>IF(ISNUMBER(
   IF(D_I="SI",(Datos!J18-Datos!T18)/Datos!T18,(Datos!J18+Datos!AD18-(Datos!T18+Datos!AL18))/(Datos!T18+Datos!AL18))
     ),IF(D_I="SI",(Datos!J18-Datos!T18)/Datos!T18,(Datos!J18+Datos!AD18-(Datos!T18+Datos!AL18))/(Datos!T18+Datos!AL18))," - ")</f>
        <v>0.3559322033898305</v>
      </c>
      <c r="F18" s="393">
        <f>IF(ISNUMBER(
   IF(D_I="SI",(Datos!K18-Datos!U18)/Datos!U18,(Datos!K18+Datos!AE18-(Datos!U18+Datos!AM18))/(Datos!U18+Datos!AM18))
     ),IF(D_I="SI",(Datos!K18-Datos!U18)/Datos!U18,(Datos!K18+Datos!AE18-(Datos!U18+Datos!AM18))/(Datos!U18+Datos!AM18))," - ")</f>
        <v>0.32885906040268459</v>
      </c>
      <c r="G18" s="394">
        <f>IF(ISNUMBER(
   IF(D_I="SI",(Datos!L18-Datos!V18)/Datos!V18,(Datos!L18+Datos!AF18-(Datos!V18+Datos!AN18))/(Datos!V18+Datos!AN18))
     ),IF(D_I="SI",(Datos!L18-Datos!V18)/Datos!V18,(Datos!L18+Datos!AF18-(Datos!V18+Datos!AN18))/(Datos!V18+Datos!AN18))," - ")</f>
        <v>-0.76</v>
      </c>
      <c r="H18" s="244">
        <f>IF(ISNUMBER((Datos!M18-Datos!W18)/Datos!W18),(Datos!M18-Datos!W18)/Datos!W18," - ")</f>
        <v>-0.10526315789473684</v>
      </c>
      <c r="I18" s="395">
        <f>IF(ISNUMBER((Tasas!C18-Datos!BE18)/Datos!BE18),(Tasas!C18-Datos!BE18)/Datos!BE18," - ")</f>
        <v>-0.81939393939393945</v>
      </c>
      <c r="J18" s="394">
        <f>IF(ISNUMBER((Tasas!D18-Datos!BF18)/Datos!BF18),(Tasas!D18-Datos!BF18)/Datos!BF18," - ")</f>
        <v>-0.32668793195108992</v>
      </c>
      <c r="K18" s="396">
        <f>IF(ISNUMBER((Tasas!E18-Datos!BG18)/Datos!BG18),(Tasas!E18-Datos!BG18)/Datos!BG18," - ")</f>
        <v>-0.20587787421958278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-0.25479744136460553</v>
      </c>
      <c r="E23" s="399">
        <f>IF(ISNUMBER(
   IF(D_I="SI",(Datos!J23-Datos!T23)/Datos!T23,(Datos!J23+Datos!AD23-(Datos!T23+Datos!AL23))/(Datos!T23+Datos!AL23))
     ),IF(D_I="SI",(Datos!J23-Datos!T23)/Datos!T23,(Datos!J23+Datos!AD23-(Datos!T23+Datos!AL23))/(Datos!T23+Datos!AL23))," - ")</f>
        <v>2.5512037369744878E-2</v>
      </c>
      <c r="F23" s="399">
        <f>IF(ISNUMBER(
   IF(D_I="SI",(Datos!K23-Datos!U23)/Datos!U23,(Datos!K23+Datos!AE23-(Datos!U23+Datos!AM23))/(Datos!U23+Datos!AM23))
     ),IF(D_I="SI",(Datos!K23-Datos!U23)/Datos!U23,(Datos!K23+Datos!AE23-(Datos!U23+Datos!AM23))/(Datos!U23+Datos!AM23))," - ")</f>
        <v>-0.17117414248021109</v>
      </c>
      <c r="G23" s="400">
        <f>IF(ISNUMBER(
   IF(D_I="SI",(Datos!L23-Datos!V23)/Datos!V23,(Datos!L23+Datos!AF23-(Datos!V23+Datos!AN23))/(Datos!V23+Datos!AN23))
     ),IF(D_I="SI",(Datos!L23-Datos!V23)/Datos!V23,(Datos!L23+Datos!AF23-(Datos!V23+Datos!AN23))/(Datos!V23+Datos!AN23))," - ")</f>
        <v>0.51502145922746778</v>
      </c>
      <c r="H23" s="401">
        <f>IF(ISNUMBER((Datos!M23-Datos!W23)/Datos!W23),(Datos!M23-Datos!W23)/Datos!W23," - ")</f>
        <v>-8.1159420289855067E-2</v>
      </c>
      <c r="I23" s="402">
        <f>IF(ISNUMBER((Tasas!C23-Datos!BE23)/Datos!BE23),(Tasas!C23-Datos!BE23)/Datos!BE23," - ")</f>
        <v>0.82791287878140973</v>
      </c>
      <c r="J23" s="400">
        <f>IF(ISNUMBER((Tasas!D23-Datos!BF23)/Datos!BF23),(Tasas!D23-Datos!BF23)/Datos!BF23," - ")</f>
        <v>0.10860510850822103</v>
      </c>
      <c r="K23" s="403">
        <f>IF(ISNUMBER((Tasas!E23-Datos!BG23)/Datos!BG23),(Tasas!E23-Datos!BG23)/Datos!BG23," - ")</f>
        <v>0.15205243403476876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-7.9734219269102985E-2</v>
      </c>
      <c r="E31" s="409">
        <f>IF(ISNUMBER(
   IF(J_V="SI",(Datos!J31-Datos!T31)/Datos!T31,(Datos!J31+Datos!Z31-(Datos!T31+Datos!AH31))/(Datos!T31+Datos!AH31))
     ),IF(J_V="SI",(Datos!J31-Datos!T31)/Datos!T31,(Datos!J31+Datos!Z31-(Datos!T31+Datos!AH31))/(Datos!T31+Datos!AH31))," - ")</f>
        <v>4.6041813483673949E-2</v>
      </c>
      <c r="F31" s="409">
        <f>IF(ISNUMBER(
   IF(J_V="SI",(Datos!K31-Datos!U31)/Datos!U31,(Datos!K31+Datos!AA31-(Datos!U31+Datos!AI31))/(Datos!U31+Datos!AI31))
     ),IF(J_V="SI",(Datos!K31-Datos!U31)/Datos!U31,(Datos!K31+Datos!AA31-(Datos!U31+Datos!AI31))/(Datos!U31+Datos!AI31))," - ")</f>
        <v>-0.11161217587373168</v>
      </c>
      <c r="G31" s="410">
        <f>IF(ISNUMBER(
   IF(J_V="SI",(Datos!L31-Datos!V31)/Datos!V31,(Datos!L31+Datos!AB31-(Datos!V31+Datos!AJ31))/(Datos!V31+Datos!AJ31))
     ),IF(J_V="SI",(Datos!L31-Datos!V31)/Datos!V31,(Datos!L31+Datos!AB31-(Datos!V31+Datos!AJ31))/(Datos!V31+Datos!AJ31))," - ")</f>
        <v>0.27436823104693142</v>
      </c>
      <c r="H31" s="411">
        <f>IF(ISNUMBER((Datos!M31-Datos!W31)/Datos!W31),(Datos!M31-Datos!W31)/Datos!W31," - ")</f>
        <v>-8.4151472650771386E-2</v>
      </c>
      <c r="I31" s="408">
        <f>IF(ISNUMBER((Tasas!C31-Datos!BE31)/Datos!BE31),(Tasas!C31-Datos!BE31)/Datos!BE31," - ")</f>
        <v>0.43447286921145706</v>
      </c>
      <c r="J31" s="409">
        <f>IF(ISNUMBER((Tasas!D31-Datos!BF31)/Datos!BF31),(Tasas!D31-Datos!BF31)/Datos!BF31," - ")</f>
        <v>-5.4003423292763468E-2</v>
      </c>
      <c r="K31" s="410">
        <f>IF(ISNUMBER((Tasas!E31-Datos!BG31)/Datos!BG31),(Tasas!E31-Datos!BG31)/Datos!BG31," - ")</f>
        <v>0.13058702664416286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0.40172881725382287</v>
      </c>
      <c r="E33" s="303">
        <f t="shared" si="1"/>
        <v>0.39861213095634523</v>
      </c>
      <c r="F33" s="303">
        <f t="shared" si="1"/>
        <v>0.363516948958234</v>
      </c>
      <c r="G33" s="304">
        <f t="shared" si="1"/>
        <v>0.62849500226774968</v>
      </c>
      <c r="H33" s="310">
        <f t="shared" si="1"/>
        <v>0.37541291769560547</v>
      </c>
      <c r="I33" s="302">
        <f t="shared" si="1"/>
        <v>0.76464403280302817</v>
      </c>
      <c r="J33" s="303">
        <f t="shared" si="1"/>
        <v>0.41352262474303331</v>
      </c>
      <c r="K33" s="304">
        <f t="shared" si="1"/>
        <v>0.17429478492802131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CDhiqOtmMYlI2eA9uvnBcfzC0iY7IIjM0gCID/ooycdii9K0/c7kyHuSPMqMVcO9zYWWgbHf8Csp/1ZbKVA6w==" saltValue="8/VkmLb06kQogE8GQghl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